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autoCompressPictures="0"/>
  <mc:AlternateContent xmlns:mc="http://schemas.openxmlformats.org/markup-compatibility/2006">
    <mc:Choice Requires="x15">
      <x15ac:absPath xmlns:x15ac="http://schemas.microsoft.com/office/spreadsheetml/2010/11/ac" url="/Users/t_claussen/Documents/tclaussen_Nextcloud/t_claussen_business/TC Consulting/20 Templates/"/>
    </mc:Choice>
  </mc:AlternateContent>
  <xr:revisionPtr revIDLastSave="0" documentId="13_ncr:1_{E969EC20-D370-4F40-8FA7-8E5EF701AAC3}" xr6:coauthVersionLast="47" xr6:coauthVersionMax="47" xr10:uidLastSave="{00000000-0000-0000-0000-000000000000}"/>
  <bookViews>
    <workbookView xWindow="15220" yWindow="560" windowWidth="44580" windowHeight="25520" tabRatio="911" activeTab="13" xr2:uid="{00000000-000D-0000-FFFF-FFFF00000000}"/>
  </bookViews>
  <sheets>
    <sheet name="Titel" sheetId="17" r:id="rId1"/>
    <sheet name="Remarks" sheetId="52" r:id="rId2"/>
    <sheet name="Parameter" sheetId="7" r:id="rId3"/>
    <sheet name="Liquidity" sheetId="4" r:id="rId4"/>
    <sheet name="P&amp;L Overview" sheetId="5" r:id="rId5"/>
    <sheet name="P+L" sheetId="27" state="hidden" r:id="rId6"/>
    <sheet name="P&amp;L Detail" sheetId="35" r:id="rId7"/>
    <sheet name="P+L Quarter 2016" sheetId="34" state="hidden" r:id="rId8"/>
    <sheet name="Prod.-Calc.." sheetId="41" r:id="rId9"/>
    <sheet name="Revenues" sheetId="42" r:id="rId10"/>
    <sheet name="Payroll" sheetId="43" r:id="rId11"/>
    <sheet name="other  costs" sheetId="11" r:id="rId12"/>
    <sheet name="Development Costs" sheetId="30" r:id="rId13"/>
    <sheet name="Interest_Redemption" sheetId="3" r:id="rId14"/>
  </sheets>
  <definedNames>
    <definedName name="Accident_Insurance_Rate">Parameter!$D$25</definedName>
    <definedName name="Cash_DIscount_Rate">Parameter!$D$22</definedName>
    <definedName name="Corporate_Tax_Rate">Parameter!$D$17</definedName>
    <definedName name="Cost_per_Sale">Parameter!$I$13</definedName>
    <definedName name="Development_Gross_1000_Y1">'Development Costs'!$G$76:$R$76</definedName>
    <definedName name="Development_Gross_1000_Y2">'Development Costs'!$U$76:$AF$76</definedName>
    <definedName name="Development_Gross_1000_Y3">'Development Costs'!$AI$76:$AT$76</definedName>
    <definedName name="_xlnm.Print_Area" localSheetId="12">'Development Costs'!$B$2:$AV$67</definedName>
    <definedName name="_xlnm.Print_Area" localSheetId="13">Interest_Redemption!$B$2:$AC$40</definedName>
    <definedName name="_xlnm.Print_Area" localSheetId="3">Liquidity!$A$2:$R$48</definedName>
    <definedName name="_xlnm.Print_Area" localSheetId="11">'other  costs'!$A$1:$S$66</definedName>
    <definedName name="_xlnm.Print_Area" localSheetId="6">'P&amp;L Detail'!$B$2:$AH$66</definedName>
    <definedName name="_xlnm.Print_Area" localSheetId="4">'P&amp;L Overview'!$B$2:$M$64</definedName>
    <definedName name="_xlnm.Print_Area" localSheetId="5">'P+L'!$B$2:$AE$50</definedName>
    <definedName name="_xlnm.Print_Area" localSheetId="7">'P+L Quarter 2016'!$B$2:$AF$50</definedName>
    <definedName name="_xlnm.Print_Titles" localSheetId="11">'other  costs'!$1:$3</definedName>
    <definedName name="_xlnm.Print_Titles" localSheetId="10">Payroll!$1:$5</definedName>
    <definedName name="Exchange_Rate">Parameter!$I$16</definedName>
    <definedName name="Exemption">Parameter!$D$20</definedName>
    <definedName name="Leverage_Trade_Tax">Parameter!$D$18</definedName>
    <definedName name="Other_Costs_Net_1000_Y1">'other  costs'!$F$68:$Q$68</definedName>
    <definedName name="Other_Costs_Net_1000_Y2">'other  costs'!$T$68:$AE$68</definedName>
    <definedName name="Other_Costs_Net_1000_Y3">'other  costs'!$AH$68:$AS$68</definedName>
    <definedName name="Product_Cost_2_Y1">'Prod.-Calc..'!$G$25</definedName>
    <definedName name="Product_Cost_2_Y2">'Prod.-Calc..'!$I$25</definedName>
    <definedName name="Product_Cost_2_Y3">'Prod.-Calc..'!$K$25</definedName>
    <definedName name="Product_Liability_Rate">Parameter!$D$26</definedName>
    <definedName name="Product_Margin_2_Y1">'Prod.-Calc..'!$G$26</definedName>
    <definedName name="Product_Margin_2_Y2">'Prod.-Calc..'!$I$26</definedName>
    <definedName name="Product_Margin_2_Y3">'Prod.-Calc..'!$K$26</definedName>
    <definedName name="Sales_Commission">Parameter!$D$24</definedName>
    <definedName name="Solidarity_Tax_Rate">Parameter!$D$16</definedName>
    <definedName name="Total_License_Costs_Y1">Revenues!$E$101:$P$101</definedName>
    <definedName name="Total_License_Costs_Y2">Revenues!$S$101:$AD$101</definedName>
    <definedName name="Total_License_Costs_Y3">Revenues!$AG$101:$AR$101</definedName>
    <definedName name="Total_Net_Revenue_Y1">Revenues!$E$84:$P$84</definedName>
    <definedName name="Total_Net_Revenue_Y2">Revenues!$S$84:$AD$84</definedName>
    <definedName name="Total_Net_Revenue_Y3">Revenues!$AG$84:$AR$84</definedName>
    <definedName name="Total_Production_Costs_Y1">Revenues!$E$93:$P$93</definedName>
    <definedName name="Total_Production_Costs_Y2">Revenues!$S$93:$AD$93</definedName>
    <definedName name="Total_Production_Costs_Y3">Revenues!$AG$93:$AR$93</definedName>
    <definedName name="Trade_Tax_Rate">Parameter!$D$19</definedName>
    <definedName name="Trade_Tax_Surcharge">Parameter!$D$21</definedName>
    <definedName name="VAT_Rate_normal">Parameter!$D$29</definedName>
    <definedName name="VAT_Rate_reduced">Parameter!$E$29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1" i="35" l="1"/>
  <c r="AF59" i="35"/>
  <c r="AE59" i="35"/>
  <c r="AE58" i="35"/>
  <c r="AE57" i="35"/>
  <c r="AF54" i="35"/>
  <c r="AE54" i="35"/>
  <c r="AF45" i="35"/>
  <c r="AF46" i="35"/>
  <c r="AF47" i="35"/>
  <c r="AF48" i="35"/>
  <c r="AF49" i="35"/>
  <c r="AF50" i="35"/>
  <c r="AF51" i="35"/>
  <c r="AF52" i="35"/>
  <c r="AF44" i="35"/>
  <c r="AE45" i="35"/>
  <c r="AE46" i="35"/>
  <c r="AE47" i="35"/>
  <c r="AE48" i="35"/>
  <c r="AE49" i="35"/>
  <c r="AE50" i="35"/>
  <c r="AE51" i="35"/>
  <c r="AE52" i="35"/>
  <c r="AE44" i="35"/>
  <c r="AF34" i="35"/>
  <c r="AF35" i="35"/>
  <c r="AF36" i="35"/>
  <c r="AF37" i="35"/>
  <c r="AF38" i="35"/>
  <c r="AF39" i="35"/>
  <c r="AF40" i="35"/>
  <c r="AF33" i="35"/>
  <c r="AE34" i="35"/>
  <c r="AE35" i="35"/>
  <c r="AE36" i="35"/>
  <c r="AE37" i="35"/>
  <c r="AE38" i="35"/>
  <c r="AE39" i="35"/>
  <c r="AE40" i="35"/>
  <c r="AE33" i="35"/>
  <c r="AD32" i="35"/>
  <c r="AF28" i="35"/>
  <c r="AF29" i="35"/>
  <c r="AF30" i="35"/>
  <c r="AF31" i="35"/>
  <c r="AE28" i="35"/>
  <c r="AE29" i="35"/>
  <c r="AE30" i="35"/>
  <c r="AD21" i="35"/>
  <c r="AF23" i="35"/>
  <c r="AF22" i="35"/>
  <c r="AE23" i="35"/>
  <c r="AE22" i="35"/>
  <c r="AF20" i="35"/>
  <c r="J20" i="35"/>
  <c r="AE9" i="35"/>
  <c r="AE10" i="35"/>
  <c r="AE11" i="35"/>
  <c r="AE12" i="35"/>
  <c r="AE13" i="35"/>
  <c r="AE14" i="35"/>
  <c r="AE15" i="35"/>
  <c r="AE16" i="35"/>
  <c r="AE17" i="35"/>
  <c r="AE8" i="35"/>
  <c r="AF9" i="35"/>
  <c r="AF10" i="35"/>
  <c r="AF11" i="35"/>
  <c r="AF12" i="35"/>
  <c r="AF13" i="35"/>
  <c r="AF14" i="35"/>
  <c r="AF15" i="35"/>
  <c r="AF16" i="35"/>
  <c r="AF17" i="35"/>
  <c r="AB58" i="35"/>
  <c r="AB57" i="35"/>
  <c r="V58" i="35"/>
  <c r="V57" i="35"/>
  <c r="AB52" i="35"/>
  <c r="AB51" i="35"/>
  <c r="AB50" i="35"/>
  <c r="AB49" i="35"/>
  <c r="AB48" i="35"/>
  <c r="AB47" i="35"/>
  <c r="AB46" i="35"/>
  <c r="AB45" i="35"/>
  <c r="AB44" i="35"/>
  <c r="V52" i="35"/>
  <c r="V51" i="35"/>
  <c r="V50" i="35"/>
  <c r="V49" i="35"/>
  <c r="V48" i="35"/>
  <c r="V47" i="35"/>
  <c r="V46" i="35"/>
  <c r="V45" i="35"/>
  <c r="V44" i="35"/>
  <c r="AB40" i="35"/>
  <c r="AB39" i="35"/>
  <c r="AB38" i="35"/>
  <c r="AB37" i="35"/>
  <c r="AB36" i="35"/>
  <c r="AB35" i="35"/>
  <c r="AB34" i="35"/>
  <c r="AB33" i="35"/>
  <c r="V40" i="35"/>
  <c r="V39" i="35"/>
  <c r="V38" i="35"/>
  <c r="V37" i="35"/>
  <c r="V36" i="35"/>
  <c r="V35" i="35"/>
  <c r="V34" i="35"/>
  <c r="V33" i="35"/>
  <c r="AB29" i="35"/>
  <c r="AB28" i="35"/>
  <c r="V29" i="35"/>
  <c r="V28" i="35"/>
  <c r="AB23" i="35"/>
  <c r="AB22" i="35"/>
  <c r="V23" i="35"/>
  <c r="V22" i="35"/>
  <c r="P23" i="35"/>
  <c r="P22" i="35"/>
  <c r="AB17" i="35"/>
  <c r="AB16" i="35"/>
  <c r="AB15" i="35"/>
  <c r="AB14" i="35"/>
  <c r="AB13" i="35"/>
  <c r="AB12" i="35"/>
  <c r="AB11" i="35"/>
  <c r="AB10" i="35"/>
  <c r="AB9" i="35"/>
  <c r="AB8" i="35"/>
  <c r="V17" i="35"/>
  <c r="V16" i="35"/>
  <c r="V15" i="35"/>
  <c r="V14" i="35"/>
  <c r="V13" i="35"/>
  <c r="V12" i="35"/>
  <c r="V11" i="35"/>
  <c r="V10" i="35"/>
  <c r="V9" i="35"/>
  <c r="V8" i="35"/>
  <c r="P58" i="35"/>
  <c r="P57" i="35"/>
  <c r="P52" i="35"/>
  <c r="P51" i="35"/>
  <c r="P50" i="35"/>
  <c r="P49" i="35"/>
  <c r="P48" i="35"/>
  <c r="P47" i="35"/>
  <c r="P46" i="35"/>
  <c r="P45" i="35"/>
  <c r="P44" i="35"/>
  <c r="P40" i="35"/>
  <c r="P39" i="35"/>
  <c r="P38" i="35"/>
  <c r="P37" i="35"/>
  <c r="P36" i="35"/>
  <c r="P35" i="35"/>
  <c r="P34" i="35"/>
  <c r="P33" i="35"/>
  <c r="P28" i="35"/>
  <c r="P9" i="35"/>
  <c r="P10" i="35"/>
  <c r="P11" i="35"/>
  <c r="P12" i="35"/>
  <c r="P13" i="35"/>
  <c r="P14" i="35"/>
  <c r="P15" i="35"/>
  <c r="P16" i="35"/>
  <c r="P17" i="35"/>
  <c r="P8" i="35"/>
  <c r="AF8" i="35"/>
  <c r="J17" i="35"/>
  <c r="J16" i="35"/>
  <c r="J15" i="35"/>
  <c r="J14" i="35"/>
  <c r="J58" i="35"/>
  <c r="J57" i="35"/>
  <c r="J45" i="35"/>
  <c r="J46" i="35"/>
  <c r="J47" i="35"/>
  <c r="J48" i="35"/>
  <c r="J49" i="35"/>
  <c r="J50" i="35"/>
  <c r="J51" i="35"/>
  <c r="J52" i="35"/>
  <c r="J44" i="35"/>
  <c r="J34" i="35"/>
  <c r="J35" i="35"/>
  <c r="J36" i="35"/>
  <c r="J37" i="35"/>
  <c r="J38" i="35"/>
  <c r="J39" i="35"/>
  <c r="J40" i="35"/>
  <c r="J33" i="35"/>
  <c r="J28" i="35"/>
  <c r="J29" i="35"/>
  <c r="J30" i="35"/>
  <c r="J31" i="35"/>
  <c r="J23" i="35"/>
  <c r="J22" i="35"/>
  <c r="J9" i="35"/>
  <c r="AT68" i="11"/>
  <c r="AF68" i="11"/>
  <c r="R68" i="11"/>
  <c r="AH89" i="42"/>
  <c r="AI89" i="42"/>
  <c r="AJ89" i="42"/>
  <c r="AK89" i="42"/>
  <c r="AK93" i="42" s="1"/>
  <c r="AJ19" i="4" s="1" a="1"/>
  <c r="AJ19" i="4" s="1"/>
  <c r="AL89" i="42"/>
  <c r="AM89" i="42"/>
  <c r="AN89" i="42"/>
  <c r="AN93" i="42" s="1"/>
  <c r="AM19" i="4" s="1" a="1"/>
  <c r="AM19" i="4" s="1"/>
  <c r="AO89" i="42"/>
  <c r="AO93" i="42" s="1"/>
  <c r="AN19" i="4" s="1" a="1"/>
  <c r="AN19" i="4" s="1"/>
  <c r="AP89" i="42"/>
  <c r="AQ89" i="42"/>
  <c r="AR89" i="42"/>
  <c r="AG89" i="42"/>
  <c r="AG93" i="42" s="1"/>
  <c r="AF19" i="4" s="1" a="1"/>
  <c r="AF19" i="4" s="1"/>
  <c r="T89" i="42"/>
  <c r="U89" i="42"/>
  <c r="V89" i="42"/>
  <c r="V93" i="42" s="1"/>
  <c r="V19" i="4" s="1" a="1"/>
  <c r="V19" i="4" s="1"/>
  <c r="W89" i="42"/>
  <c r="W93" i="42" s="1"/>
  <c r="W19" i="4" s="1" a="1"/>
  <c r="W19" i="4" s="1"/>
  <c r="X89" i="42"/>
  <c r="Y89" i="42"/>
  <c r="Z89" i="42"/>
  <c r="AA89" i="42"/>
  <c r="AA93" i="42" s="1"/>
  <c r="AA19" i="4" s="1" a="1"/>
  <c r="AA19" i="4" s="1"/>
  <c r="AB89" i="42"/>
  <c r="AC89" i="42"/>
  <c r="AD89" i="42"/>
  <c r="S89" i="42"/>
  <c r="S93" i="42" s="1"/>
  <c r="S19" i="4" s="1" a="1"/>
  <c r="S19" i="4" s="1"/>
  <c r="AH54" i="42"/>
  <c r="AI54" i="42"/>
  <c r="AJ54" i="42"/>
  <c r="AK54" i="42"/>
  <c r="AL54" i="42"/>
  <c r="AM54" i="42"/>
  <c r="AN54" i="42"/>
  <c r="AO54" i="42"/>
  <c r="AP54" i="42"/>
  <c r="AQ54" i="42"/>
  <c r="AR54" i="42"/>
  <c r="AG54" i="42"/>
  <c r="T54" i="42"/>
  <c r="U54" i="42"/>
  <c r="V54" i="42"/>
  <c r="V58" i="42" s="1"/>
  <c r="W54" i="42"/>
  <c r="X54" i="42"/>
  <c r="Y54" i="42"/>
  <c r="Z54" i="42"/>
  <c r="AA54" i="42"/>
  <c r="AB54" i="42"/>
  <c r="AC54" i="42"/>
  <c r="AD54" i="42"/>
  <c r="S54" i="42"/>
  <c r="E54" i="42"/>
  <c r="F89" i="42"/>
  <c r="G89" i="42"/>
  <c r="H89" i="42"/>
  <c r="I89" i="42"/>
  <c r="J89" i="42"/>
  <c r="K89" i="42"/>
  <c r="L89" i="42"/>
  <c r="M89" i="42"/>
  <c r="N89" i="42"/>
  <c r="O89" i="42"/>
  <c r="P89" i="42"/>
  <c r="E89" i="42"/>
  <c r="G54" i="42"/>
  <c r="H54" i="42"/>
  <c r="I54" i="42"/>
  <c r="J54" i="42"/>
  <c r="K54" i="42"/>
  <c r="L54" i="42"/>
  <c r="M54" i="42"/>
  <c r="N54" i="42"/>
  <c r="O54" i="42"/>
  <c r="P54" i="42"/>
  <c r="F54" i="42"/>
  <c r="Q13" i="42"/>
  <c r="AG79" i="42"/>
  <c r="AH79" i="42"/>
  <c r="AI79" i="42"/>
  <c r="AJ79" i="42"/>
  <c r="AK79" i="42"/>
  <c r="AL79" i="42"/>
  <c r="AM79" i="42"/>
  <c r="AN79" i="42"/>
  <c r="AO79" i="42"/>
  <c r="AP79" i="42"/>
  <c r="AQ79" i="42"/>
  <c r="AR79" i="42"/>
  <c r="AG80" i="42"/>
  <c r="AH80" i="42"/>
  <c r="AI80" i="42"/>
  <c r="AI82" i="42" s="1"/>
  <c r="AJ80" i="42"/>
  <c r="AK80" i="42"/>
  <c r="AL80" i="42"/>
  <c r="AM80" i="42"/>
  <c r="AN80" i="42"/>
  <c r="AO80" i="42"/>
  <c r="AP80" i="42"/>
  <c r="AQ80" i="42"/>
  <c r="AQ82" i="42" s="1"/>
  <c r="AR80" i="42"/>
  <c r="AG81" i="42"/>
  <c r="AH81" i="42"/>
  <c r="AI81" i="42"/>
  <c r="AJ81" i="42"/>
  <c r="AK81" i="42"/>
  <c r="AL81" i="42"/>
  <c r="AM81" i="42"/>
  <c r="AN81" i="42"/>
  <c r="AO81" i="42"/>
  <c r="AP81" i="42"/>
  <c r="AQ81" i="42"/>
  <c r="AR81" i="42"/>
  <c r="AH78" i="42"/>
  <c r="AI78" i="42"/>
  <c r="AJ78" i="42"/>
  <c r="AK78" i="42"/>
  <c r="AL78" i="42"/>
  <c r="AM78" i="42"/>
  <c r="AN78" i="42"/>
  <c r="AO78" i="42"/>
  <c r="AP78" i="42"/>
  <c r="AQ78" i="42"/>
  <c r="AR78" i="42"/>
  <c r="AG78" i="42"/>
  <c r="AG71" i="42"/>
  <c r="AH71" i="42"/>
  <c r="AI71" i="42"/>
  <c r="AJ71" i="42"/>
  <c r="AJ74" i="42" s="1"/>
  <c r="AK71" i="42"/>
  <c r="AL71" i="42"/>
  <c r="AM71" i="42"/>
  <c r="AN71" i="42"/>
  <c r="AO71" i="42"/>
  <c r="AP71" i="42"/>
  <c r="AQ71" i="42"/>
  <c r="AR71" i="42"/>
  <c r="AG72" i="42"/>
  <c r="AH72" i="42"/>
  <c r="AI72" i="42"/>
  <c r="AI74" i="42" s="1"/>
  <c r="AJ72" i="42"/>
  <c r="AK72" i="42"/>
  <c r="AL72" i="42"/>
  <c r="AM72" i="42"/>
  <c r="AN72" i="42"/>
  <c r="AO72" i="42"/>
  <c r="AP72" i="42"/>
  <c r="AQ72" i="42"/>
  <c r="AR72" i="42"/>
  <c r="AG73" i="42"/>
  <c r="AH73" i="42"/>
  <c r="AI73" i="42"/>
  <c r="AJ73" i="42"/>
  <c r="AK73" i="42"/>
  <c r="AL73" i="42"/>
  <c r="AM73" i="42"/>
  <c r="AN73" i="42"/>
  <c r="AO73" i="42"/>
  <c r="AP73" i="42"/>
  <c r="AQ73" i="42"/>
  <c r="AR73" i="42"/>
  <c r="AR70" i="42"/>
  <c r="AH70" i="42"/>
  <c r="AI70" i="42"/>
  <c r="AJ70" i="42"/>
  <c r="AK70" i="42"/>
  <c r="AL70" i="42"/>
  <c r="AM70" i="42"/>
  <c r="AN70" i="42"/>
  <c r="AO70" i="42"/>
  <c r="AP70" i="42"/>
  <c r="AQ70" i="42"/>
  <c r="AQ74" i="42" s="1"/>
  <c r="AG70" i="42"/>
  <c r="AG63" i="42"/>
  <c r="AH63" i="42"/>
  <c r="AI63" i="42"/>
  <c r="AJ63" i="42"/>
  <c r="AK63" i="42"/>
  <c r="AL63" i="42"/>
  <c r="AM63" i="42"/>
  <c r="AN63" i="42"/>
  <c r="AO63" i="42"/>
  <c r="AP63" i="42"/>
  <c r="AQ63" i="42"/>
  <c r="AR63" i="42"/>
  <c r="AG64" i="42"/>
  <c r="AH64" i="42"/>
  <c r="AI64" i="42"/>
  <c r="AJ64" i="42"/>
  <c r="AK64" i="42"/>
  <c r="AL64" i="42"/>
  <c r="AM64" i="42"/>
  <c r="AN64" i="42"/>
  <c r="AO64" i="42"/>
  <c r="AP64" i="42"/>
  <c r="AQ64" i="42"/>
  <c r="AR64" i="42"/>
  <c r="AG65" i="42"/>
  <c r="AH65" i="42"/>
  <c r="AI65" i="42"/>
  <c r="AJ65" i="42"/>
  <c r="AK65" i="42"/>
  <c r="AL65" i="42"/>
  <c r="AM65" i="42"/>
  <c r="AN65" i="42"/>
  <c r="AO65" i="42"/>
  <c r="AP65" i="42"/>
  <c r="AQ65" i="42"/>
  <c r="AR65" i="42"/>
  <c r="AH62" i="42"/>
  <c r="AI62" i="42"/>
  <c r="AJ62" i="42"/>
  <c r="AK62" i="42"/>
  <c r="AL62" i="42"/>
  <c r="AM62" i="42"/>
  <c r="AN62" i="42"/>
  <c r="AO62" i="42"/>
  <c r="AP62" i="42"/>
  <c r="AQ62" i="42"/>
  <c r="AR62" i="42"/>
  <c r="AG62" i="42"/>
  <c r="AG55" i="42"/>
  <c r="AH55" i="42"/>
  <c r="AI55" i="42"/>
  <c r="AJ55" i="42"/>
  <c r="AK55" i="42"/>
  <c r="AL55" i="42"/>
  <c r="AM55" i="42"/>
  <c r="AN55" i="42"/>
  <c r="AO55" i="42"/>
  <c r="AP55" i="42"/>
  <c r="AQ55" i="42"/>
  <c r="AR55" i="42"/>
  <c r="AG56" i="42"/>
  <c r="AH56" i="42"/>
  <c r="AI56" i="42"/>
  <c r="AJ56" i="42"/>
  <c r="AK56" i="42"/>
  <c r="AL56" i="42"/>
  <c r="AM56" i="42"/>
  <c r="AN56" i="42"/>
  <c r="AO56" i="42"/>
  <c r="AP56" i="42"/>
  <c r="AQ56" i="42"/>
  <c r="AR56" i="42"/>
  <c r="AG57" i="42"/>
  <c r="AH57" i="42"/>
  <c r="AI57" i="42"/>
  <c r="AJ57" i="42"/>
  <c r="AK57" i="42"/>
  <c r="AL57" i="42"/>
  <c r="AM57" i="42"/>
  <c r="AN57" i="42"/>
  <c r="AO57" i="42"/>
  <c r="AP57" i="42"/>
  <c r="AQ57" i="42"/>
  <c r="AR57" i="42"/>
  <c r="AQ58" i="42"/>
  <c r="AG47" i="42"/>
  <c r="AH47" i="42"/>
  <c r="AI47" i="42"/>
  <c r="AJ47" i="42"/>
  <c r="AK47" i="42"/>
  <c r="AL47" i="42"/>
  <c r="AM47" i="42"/>
  <c r="AN47" i="42"/>
  <c r="AO47" i="42"/>
  <c r="AP47" i="42"/>
  <c r="AQ47" i="42"/>
  <c r="AR47" i="42"/>
  <c r="AG48" i="42"/>
  <c r="AH48" i="42"/>
  <c r="AI48" i="42"/>
  <c r="AJ48" i="42"/>
  <c r="AK48" i="42"/>
  <c r="AL48" i="42"/>
  <c r="AM48" i="42"/>
  <c r="AN48" i="42"/>
  <c r="AO48" i="42"/>
  <c r="AP48" i="42"/>
  <c r="AQ48" i="42"/>
  <c r="AR48" i="42"/>
  <c r="AG49" i="42"/>
  <c r="AH49" i="42"/>
  <c r="AI49" i="42"/>
  <c r="AJ49" i="42"/>
  <c r="AK49" i="42"/>
  <c r="AL49" i="42"/>
  <c r="AM49" i="42"/>
  <c r="AN49" i="42"/>
  <c r="AO49" i="42"/>
  <c r="AP49" i="42"/>
  <c r="AQ49" i="42"/>
  <c r="AR49" i="42"/>
  <c r="AH46" i="42"/>
  <c r="AI46" i="42"/>
  <c r="AJ46" i="42"/>
  <c r="AK46" i="42"/>
  <c r="AL46" i="42"/>
  <c r="AM46" i="42"/>
  <c r="AN46" i="42"/>
  <c r="AO46" i="42"/>
  <c r="AP46" i="42"/>
  <c r="AQ46" i="42"/>
  <c r="AR46" i="42"/>
  <c r="AR50" i="42" s="1"/>
  <c r="AG46" i="42"/>
  <c r="S79" i="42"/>
  <c r="T79" i="42"/>
  <c r="U79" i="42"/>
  <c r="V79" i="42"/>
  <c r="W79" i="42"/>
  <c r="X79" i="42"/>
  <c r="Y79" i="42"/>
  <c r="Z79" i="42"/>
  <c r="AA79" i="42"/>
  <c r="AB79" i="42"/>
  <c r="AC79" i="42"/>
  <c r="AD79" i="42"/>
  <c r="S80" i="42"/>
  <c r="T80" i="42"/>
  <c r="U80" i="42"/>
  <c r="V80" i="42"/>
  <c r="W80" i="42"/>
  <c r="X80" i="42"/>
  <c r="Y80" i="42"/>
  <c r="Z80" i="42"/>
  <c r="AA80" i="42"/>
  <c r="AB80" i="42"/>
  <c r="AB82" i="42" s="1"/>
  <c r="AC80" i="42"/>
  <c r="AD80" i="42"/>
  <c r="S81" i="42"/>
  <c r="T81" i="42"/>
  <c r="U81" i="42"/>
  <c r="V81" i="42"/>
  <c r="W81" i="42"/>
  <c r="X81" i="42"/>
  <c r="Y81" i="42"/>
  <c r="Z81" i="42"/>
  <c r="AA81" i="42"/>
  <c r="AB81" i="42"/>
  <c r="AC81" i="42"/>
  <c r="AD81" i="42"/>
  <c r="T78" i="42"/>
  <c r="U78" i="42"/>
  <c r="V78" i="42"/>
  <c r="W78" i="42"/>
  <c r="X78" i="42"/>
  <c r="Y78" i="42"/>
  <c r="Z78" i="42"/>
  <c r="AA78" i="42"/>
  <c r="AB78" i="42"/>
  <c r="AC78" i="42"/>
  <c r="AD78" i="42"/>
  <c r="S78" i="42"/>
  <c r="S71" i="42"/>
  <c r="T71" i="42"/>
  <c r="U71" i="42"/>
  <c r="V71" i="42"/>
  <c r="W71" i="42"/>
  <c r="X71" i="42"/>
  <c r="Y71" i="42"/>
  <c r="Z71" i="42"/>
  <c r="AA71" i="42"/>
  <c r="AB71" i="42"/>
  <c r="AC71" i="42"/>
  <c r="AD71" i="42"/>
  <c r="S72" i="42"/>
  <c r="T72" i="42"/>
  <c r="U72" i="42"/>
  <c r="U74" i="42" s="1"/>
  <c r="V72" i="42"/>
  <c r="W72" i="42"/>
  <c r="X72" i="42"/>
  <c r="Y72" i="42"/>
  <c r="Z72" i="42"/>
  <c r="AA72" i="42"/>
  <c r="AB72" i="42"/>
  <c r="AC72" i="42"/>
  <c r="AC74" i="42" s="1"/>
  <c r="AD72" i="42"/>
  <c r="S73" i="42"/>
  <c r="T73" i="42"/>
  <c r="U73" i="42"/>
  <c r="V73" i="42"/>
  <c r="W73" i="42"/>
  <c r="X73" i="42"/>
  <c r="Y73" i="42"/>
  <c r="Z73" i="42"/>
  <c r="AA73" i="42"/>
  <c r="AB73" i="42"/>
  <c r="AC73" i="42"/>
  <c r="AD73" i="42"/>
  <c r="T70" i="42"/>
  <c r="U70" i="42"/>
  <c r="V70" i="42"/>
  <c r="W70" i="42"/>
  <c r="X70" i="42"/>
  <c r="Y70" i="42"/>
  <c r="Z70" i="42"/>
  <c r="AA70" i="42"/>
  <c r="AB70" i="42"/>
  <c r="AC70" i="42"/>
  <c r="AD70" i="42"/>
  <c r="S70" i="42"/>
  <c r="S63" i="42"/>
  <c r="T63" i="42"/>
  <c r="U63" i="42"/>
  <c r="V63" i="42"/>
  <c r="W63" i="42"/>
  <c r="X63" i="42"/>
  <c r="Y63" i="42"/>
  <c r="Z63" i="42"/>
  <c r="AA63" i="42"/>
  <c r="AB63" i="42"/>
  <c r="AC63" i="42"/>
  <c r="AD63" i="42"/>
  <c r="S64" i="42"/>
  <c r="T64" i="42"/>
  <c r="T66" i="42" s="1"/>
  <c r="U64" i="42"/>
  <c r="V64" i="42"/>
  <c r="W64" i="42"/>
  <c r="X64" i="42"/>
  <c r="Y64" i="42"/>
  <c r="Z64" i="42"/>
  <c r="AA64" i="42"/>
  <c r="AB64" i="42"/>
  <c r="AB66" i="42" s="1"/>
  <c r="AC64" i="42"/>
  <c r="AD64" i="42"/>
  <c r="S65" i="42"/>
  <c r="T65" i="42"/>
  <c r="U65" i="42"/>
  <c r="V65" i="42"/>
  <c r="W65" i="42"/>
  <c r="X65" i="42"/>
  <c r="Y65" i="42"/>
  <c r="Z65" i="42"/>
  <c r="AA65" i="42"/>
  <c r="AB65" i="42"/>
  <c r="AC65" i="42"/>
  <c r="AD65" i="42"/>
  <c r="T62" i="42"/>
  <c r="U62" i="42"/>
  <c r="V62" i="42"/>
  <c r="W62" i="42"/>
  <c r="X62" i="42"/>
  <c r="Y62" i="42"/>
  <c r="Z62" i="42"/>
  <c r="AA62" i="42"/>
  <c r="AB62" i="42"/>
  <c r="AC62" i="42"/>
  <c r="AD62" i="42"/>
  <c r="S62" i="42"/>
  <c r="S55" i="42"/>
  <c r="T55" i="42"/>
  <c r="U55" i="42"/>
  <c r="V55" i="42"/>
  <c r="W55" i="42"/>
  <c r="X55" i="42"/>
  <c r="Y55" i="42"/>
  <c r="Z55" i="42"/>
  <c r="AA55" i="42"/>
  <c r="AB55" i="42"/>
  <c r="AC55" i="42"/>
  <c r="AD55" i="42"/>
  <c r="S56" i="42"/>
  <c r="T56" i="42"/>
  <c r="U56" i="42"/>
  <c r="U58" i="42" s="1"/>
  <c r="V56" i="42"/>
  <c r="W56" i="42"/>
  <c r="X56" i="42"/>
  <c r="Y56" i="42"/>
  <c r="Z56" i="42"/>
  <c r="AA56" i="42"/>
  <c r="AB56" i="42"/>
  <c r="AC56" i="42"/>
  <c r="AD56" i="42"/>
  <c r="S57" i="42"/>
  <c r="T57" i="42"/>
  <c r="U57" i="42"/>
  <c r="V57" i="42"/>
  <c r="W57" i="42"/>
  <c r="X57" i="42"/>
  <c r="Y57" i="42"/>
  <c r="Z57" i="42"/>
  <c r="AA57" i="42"/>
  <c r="AB57" i="42"/>
  <c r="AC57" i="42"/>
  <c r="AD57" i="42"/>
  <c r="S47" i="42"/>
  <c r="T47" i="42"/>
  <c r="U47" i="42"/>
  <c r="V47" i="42"/>
  <c r="W47" i="42"/>
  <c r="X47" i="42"/>
  <c r="Y47" i="42"/>
  <c r="Z47" i="42"/>
  <c r="AA47" i="42"/>
  <c r="AB47" i="42"/>
  <c r="AC47" i="42"/>
  <c r="AD47" i="42"/>
  <c r="S48" i="42"/>
  <c r="T48" i="42"/>
  <c r="U48" i="42"/>
  <c r="V48" i="42"/>
  <c r="W48" i="42"/>
  <c r="X48" i="42"/>
  <c r="Y48" i="42"/>
  <c r="Z48" i="42"/>
  <c r="AA48" i="42"/>
  <c r="AB48" i="42"/>
  <c r="AC48" i="42"/>
  <c r="AD48" i="42"/>
  <c r="S49" i="42"/>
  <c r="T49" i="42"/>
  <c r="U49" i="42"/>
  <c r="V49" i="42"/>
  <c r="W49" i="42"/>
  <c r="X49" i="42"/>
  <c r="Y49" i="42"/>
  <c r="Z49" i="42"/>
  <c r="AA49" i="42"/>
  <c r="AB49" i="42"/>
  <c r="AC49" i="42"/>
  <c r="AD49" i="42"/>
  <c r="T46" i="42"/>
  <c r="U46" i="42"/>
  <c r="V46" i="42"/>
  <c r="W46" i="42"/>
  <c r="X46" i="42"/>
  <c r="Y46" i="42"/>
  <c r="Z46" i="42"/>
  <c r="AA46" i="42"/>
  <c r="AB46" i="42"/>
  <c r="AC46" i="42"/>
  <c r="AD46" i="42"/>
  <c r="S46" i="42"/>
  <c r="E79" i="42"/>
  <c r="F79" i="42"/>
  <c r="G79" i="42"/>
  <c r="H79" i="42"/>
  <c r="I79" i="42"/>
  <c r="J79" i="42"/>
  <c r="K79" i="42"/>
  <c r="L79" i="42"/>
  <c r="M79" i="42"/>
  <c r="N79" i="42"/>
  <c r="O79" i="42"/>
  <c r="P79" i="42"/>
  <c r="E80" i="42"/>
  <c r="F80" i="42"/>
  <c r="G80" i="42"/>
  <c r="H80" i="42"/>
  <c r="I80" i="42"/>
  <c r="J80" i="42"/>
  <c r="K80" i="42"/>
  <c r="L80" i="42"/>
  <c r="M80" i="42"/>
  <c r="N80" i="42"/>
  <c r="O80" i="42"/>
  <c r="P80" i="42"/>
  <c r="E81" i="42"/>
  <c r="F81" i="42"/>
  <c r="G81" i="42"/>
  <c r="H81" i="42"/>
  <c r="I81" i="42"/>
  <c r="J81" i="42"/>
  <c r="K81" i="42"/>
  <c r="L81" i="42"/>
  <c r="M81" i="42"/>
  <c r="N81" i="42"/>
  <c r="O81" i="42"/>
  <c r="P81" i="42"/>
  <c r="F78" i="42"/>
  <c r="G78" i="42"/>
  <c r="H78" i="42"/>
  <c r="I78" i="42"/>
  <c r="J78" i="42"/>
  <c r="K78" i="42"/>
  <c r="L78" i="42"/>
  <c r="M78" i="42"/>
  <c r="N78" i="42"/>
  <c r="O78" i="42"/>
  <c r="P78" i="42"/>
  <c r="E78" i="42"/>
  <c r="E71" i="42"/>
  <c r="F71" i="42"/>
  <c r="G71" i="42"/>
  <c r="H71" i="42"/>
  <c r="I71" i="42"/>
  <c r="J71" i="42"/>
  <c r="K71" i="42"/>
  <c r="L71" i="42"/>
  <c r="M71" i="42"/>
  <c r="N71" i="42"/>
  <c r="O71" i="42"/>
  <c r="P71" i="42"/>
  <c r="E72" i="42"/>
  <c r="F72" i="42"/>
  <c r="G72" i="42"/>
  <c r="H72" i="42"/>
  <c r="I72" i="42"/>
  <c r="J72" i="42"/>
  <c r="K72" i="42"/>
  <c r="L72" i="42"/>
  <c r="M72" i="42"/>
  <c r="N72" i="42"/>
  <c r="O72" i="42"/>
  <c r="P72" i="42"/>
  <c r="E73" i="42"/>
  <c r="F73" i="42"/>
  <c r="G73" i="42"/>
  <c r="H73" i="42"/>
  <c r="I73" i="42"/>
  <c r="J73" i="42"/>
  <c r="K73" i="42"/>
  <c r="L73" i="42"/>
  <c r="M73" i="42"/>
  <c r="N73" i="42"/>
  <c r="O73" i="42"/>
  <c r="P73" i="42"/>
  <c r="F70" i="42"/>
  <c r="G70" i="42"/>
  <c r="H70" i="42"/>
  <c r="I70" i="42"/>
  <c r="J70" i="42"/>
  <c r="K70" i="42"/>
  <c r="L70" i="42"/>
  <c r="M70" i="42"/>
  <c r="N70" i="42"/>
  <c r="O70" i="42"/>
  <c r="P70" i="42"/>
  <c r="E70" i="42"/>
  <c r="E63" i="42"/>
  <c r="F63" i="42"/>
  <c r="G63" i="42"/>
  <c r="H63" i="42"/>
  <c r="I63" i="42"/>
  <c r="J63" i="42"/>
  <c r="K63" i="42"/>
  <c r="L63" i="42"/>
  <c r="M63" i="42"/>
  <c r="N63" i="42"/>
  <c r="O63" i="42"/>
  <c r="P63" i="42"/>
  <c r="E64" i="42"/>
  <c r="F64" i="42"/>
  <c r="G64" i="42"/>
  <c r="H64" i="42"/>
  <c r="I64" i="42"/>
  <c r="J64" i="42"/>
  <c r="K64" i="42"/>
  <c r="L64" i="42"/>
  <c r="M64" i="42"/>
  <c r="N64" i="42"/>
  <c r="O64" i="42"/>
  <c r="P64" i="42"/>
  <c r="E65" i="42"/>
  <c r="F65" i="42"/>
  <c r="G65" i="42"/>
  <c r="H65" i="42"/>
  <c r="I65" i="42"/>
  <c r="J65" i="42"/>
  <c r="K65" i="42"/>
  <c r="L65" i="42"/>
  <c r="M65" i="42"/>
  <c r="N65" i="42"/>
  <c r="O65" i="42"/>
  <c r="P65" i="42"/>
  <c r="F62" i="42"/>
  <c r="G62" i="42"/>
  <c r="H62" i="42"/>
  <c r="I62" i="42"/>
  <c r="J62" i="42"/>
  <c r="K62" i="42"/>
  <c r="L62" i="42"/>
  <c r="M62" i="42"/>
  <c r="N62" i="42"/>
  <c r="O62" i="42"/>
  <c r="P62" i="42"/>
  <c r="E62" i="42"/>
  <c r="F57" i="42"/>
  <c r="G57" i="42"/>
  <c r="H57" i="42"/>
  <c r="I57" i="42"/>
  <c r="J57" i="42"/>
  <c r="K57" i="42"/>
  <c r="L57" i="42"/>
  <c r="M57" i="42"/>
  <c r="N57" i="42"/>
  <c r="O57" i="42"/>
  <c r="P57" i="42"/>
  <c r="E57" i="42"/>
  <c r="F56" i="42"/>
  <c r="G56" i="42"/>
  <c r="H56" i="42"/>
  <c r="I56" i="42"/>
  <c r="J56" i="42"/>
  <c r="K56" i="42"/>
  <c r="L56" i="42"/>
  <c r="M56" i="42"/>
  <c r="N56" i="42"/>
  <c r="O56" i="42"/>
  <c r="P56" i="42"/>
  <c r="E56" i="42"/>
  <c r="F55" i="42"/>
  <c r="G55" i="42"/>
  <c r="H55" i="42"/>
  <c r="I55" i="42"/>
  <c r="J55" i="42"/>
  <c r="K55" i="42"/>
  <c r="L55" i="42"/>
  <c r="M55" i="42"/>
  <c r="N55" i="42"/>
  <c r="O55" i="42"/>
  <c r="P55" i="42"/>
  <c r="E55" i="42"/>
  <c r="E47" i="42"/>
  <c r="F47" i="42"/>
  <c r="G47" i="42"/>
  <c r="H47" i="42"/>
  <c r="I47" i="42"/>
  <c r="J47" i="42"/>
  <c r="K47" i="42"/>
  <c r="L47" i="42"/>
  <c r="M47" i="42"/>
  <c r="N47" i="42"/>
  <c r="O47" i="42"/>
  <c r="P47" i="42"/>
  <c r="E48" i="42"/>
  <c r="F48" i="42"/>
  <c r="G48" i="42"/>
  <c r="H48" i="42"/>
  <c r="I48" i="42"/>
  <c r="J48" i="42"/>
  <c r="K48" i="42"/>
  <c r="L48" i="42"/>
  <c r="M48" i="42"/>
  <c r="N48" i="42"/>
  <c r="O48" i="42"/>
  <c r="P48" i="42"/>
  <c r="E49" i="42"/>
  <c r="F49" i="42"/>
  <c r="G49" i="42"/>
  <c r="H49" i="42"/>
  <c r="I49" i="42"/>
  <c r="J49" i="42"/>
  <c r="K49" i="42"/>
  <c r="L49" i="42"/>
  <c r="M49" i="42"/>
  <c r="N49" i="42"/>
  <c r="O49" i="42"/>
  <c r="P49" i="42"/>
  <c r="F46" i="42"/>
  <c r="G46" i="42"/>
  <c r="H46" i="42"/>
  <c r="I46" i="42"/>
  <c r="J46" i="42"/>
  <c r="K46" i="42"/>
  <c r="L46" i="42"/>
  <c r="M46" i="42"/>
  <c r="N46" i="42"/>
  <c r="O46" i="42"/>
  <c r="P46" i="42"/>
  <c r="E46" i="42"/>
  <c r="AF41" i="42"/>
  <c r="AF33" i="42"/>
  <c r="AF25" i="42"/>
  <c r="AF17" i="42"/>
  <c r="AF9" i="42"/>
  <c r="R41" i="42"/>
  <c r="R33" i="42"/>
  <c r="R25" i="42"/>
  <c r="R17" i="42"/>
  <c r="R9" i="42"/>
  <c r="AF4" i="4"/>
  <c r="S4" i="4"/>
  <c r="F4" i="4"/>
  <c r="F21" i="4"/>
  <c r="W15" i="3"/>
  <c r="V15" i="3"/>
  <c r="U15" i="3"/>
  <c r="AL52" i="35"/>
  <c r="L59" i="35"/>
  <c r="M59" i="35"/>
  <c r="N59" i="35"/>
  <c r="AQ23" i="35"/>
  <c r="AP23" i="35"/>
  <c r="AO23" i="35"/>
  <c r="AQ22" i="35"/>
  <c r="AP22" i="35"/>
  <c r="AO22" i="35"/>
  <c r="AN22" i="35"/>
  <c r="AK22" i="35"/>
  <c r="AJ22" i="35"/>
  <c r="AI22" i="35"/>
  <c r="AH22" i="35"/>
  <c r="A1" i="42"/>
  <c r="AJ72" i="30"/>
  <c r="AK72" i="30"/>
  <c r="AL72" i="30"/>
  <c r="AM72" i="30"/>
  <c r="AN72" i="30"/>
  <c r="AO72" i="30"/>
  <c r="AP72" i="30"/>
  <c r="AQ72" i="30"/>
  <c r="AR72" i="30"/>
  <c r="AS72" i="30"/>
  <c r="AT72" i="30"/>
  <c r="AI72" i="30"/>
  <c r="V72" i="30"/>
  <c r="W72" i="30"/>
  <c r="X72" i="30"/>
  <c r="Y72" i="30"/>
  <c r="Z72" i="30"/>
  <c r="AA72" i="30"/>
  <c r="AB72" i="30"/>
  <c r="AC72" i="30"/>
  <c r="AD72" i="30"/>
  <c r="AE72" i="30"/>
  <c r="AF72" i="30"/>
  <c r="U72" i="30"/>
  <c r="AF2" i="42"/>
  <c r="R2" i="42"/>
  <c r="E2" i="42"/>
  <c r="AR101" i="42"/>
  <c r="AQ101" i="42"/>
  <c r="AP101" i="42"/>
  <c r="AO101" i="42"/>
  <c r="AN101" i="42"/>
  <c r="AM101" i="42"/>
  <c r="AL101" i="42"/>
  <c r="AK26" i="4" s="1" a="1"/>
  <c r="AK26" i="4" s="1"/>
  <c r="AK101" i="42"/>
  <c r="AJ101" i="42"/>
  <c r="AI101" i="42"/>
  <c r="AH101" i="42"/>
  <c r="AG101" i="42"/>
  <c r="AN40" i="35" s="1"/>
  <c r="AR93" i="42"/>
  <c r="AQ93" i="42"/>
  <c r="AP93" i="42"/>
  <c r="AM93" i="42"/>
  <c r="AL19" i="4" s="1" a="1"/>
  <c r="AL19" i="4" s="1"/>
  <c r="AL93" i="42"/>
  <c r="AJ93" i="42"/>
  <c r="AI93" i="42"/>
  <c r="AH93" i="42"/>
  <c r="AP82" i="42"/>
  <c r="AP58" i="42"/>
  <c r="AH58" i="42"/>
  <c r="AD101" i="42"/>
  <c r="AC101" i="42"/>
  <c r="AB101" i="42"/>
  <c r="AA101" i="42"/>
  <c r="Z101" i="42"/>
  <c r="Y101" i="42"/>
  <c r="AJ40" i="35" s="1"/>
  <c r="X101" i="42"/>
  <c r="AI40" i="35" s="1"/>
  <c r="W101" i="42"/>
  <c r="V101" i="42"/>
  <c r="U101" i="42"/>
  <c r="T101" i="42"/>
  <c r="S101" i="42"/>
  <c r="AD93" i="42"/>
  <c r="AC93" i="42"/>
  <c r="AB93" i="42"/>
  <c r="Z93" i="42"/>
  <c r="Y93" i="42"/>
  <c r="Y19" i="4" s="1" a="1"/>
  <c r="Y19" i="4" s="1"/>
  <c r="X93" i="42"/>
  <c r="U93" i="42"/>
  <c r="T93" i="42"/>
  <c r="AC82" i="42"/>
  <c r="U82" i="42"/>
  <c r="AD74" i="42"/>
  <c r="AB74" i="42"/>
  <c r="V74" i="42"/>
  <c r="T74" i="42"/>
  <c r="H6" i="7"/>
  <c r="F6" i="7"/>
  <c r="G6" i="7"/>
  <c r="E6" i="7"/>
  <c r="C68" i="11"/>
  <c r="M4" i="30"/>
  <c r="H72" i="30"/>
  <c r="I72" i="30"/>
  <c r="J72" i="30"/>
  <c r="K72" i="30"/>
  <c r="L72" i="30"/>
  <c r="M72" i="30"/>
  <c r="N72" i="30"/>
  <c r="O72" i="30"/>
  <c r="P72" i="30"/>
  <c r="Q72" i="30"/>
  <c r="R72" i="30"/>
  <c r="G72" i="30"/>
  <c r="AO4" i="30"/>
  <c r="AA4" i="30"/>
  <c r="C2" i="30"/>
  <c r="G47" i="41"/>
  <c r="G38" i="41"/>
  <c r="G28" i="41"/>
  <c r="G16" i="41"/>
  <c r="O6" i="41"/>
  <c r="M6" i="41"/>
  <c r="K6" i="41"/>
  <c r="I6" i="41"/>
  <c r="G6" i="41"/>
  <c r="D3" i="3"/>
  <c r="C3" i="11"/>
  <c r="E75" i="30"/>
  <c r="E74" i="30"/>
  <c r="C41" i="30"/>
  <c r="C33" i="30"/>
  <c r="C26" i="30"/>
  <c r="C19" i="30"/>
  <c r="C9" i="30"/>
  <c r="AG26" i="4" a="1"/>
  <c r="AG26" i="4" s="1"/>
  <c r="AH26" i="4" a="1"/>
  <c r="AH26" i="4" s="1"/>
  <c r="AI26" i="4" a="1"/>
  <c r="AI26" i="4" s="1"/>
  <c r="AJ26" i="4" a="1"/>
  <c r="AJ26" i="4" s="1"/>
  <c r="AL26" i="4" a="1"/>
  <c r="AL26" i="4" s="1"/>
  <c r="AM26" i="4" a="1"/>
  <c r="AM26" i="4" s="1"/>
  <c r="AN26" i="4" a="1"/>
  <c r="AN26" i="4" s="1"/>
  <c r="AO26" i="4" a="1"/>
  <c r="AO26" i="4" s="1"/>
  <c r="AP26" i="4" a="1"/>
  <c r="AP26" i="4" s="1"/>
  <c r="AQ26" i="4" a="1"/>
  <c r="AQ26" i="4" s="1"/>
  <c r="AG19" i="4" a="1"/>
  <c r="AG19" i="4" s="1"/>
  <c r="AH19" i="4" a="1"/>
  <c r="AH19" i="4" s="1"/>
  <c r="AI19" i="4" a="1"/>
  <c r="AI19" i="4" s="1"/>
  <c r="AK19" i="4" a="1"/>
  <c r="AK19" i="4" s="1"/>
  <c r="AO19" i="4" a="1"/>
  <c r="AO19" i="4" s="1"/>
  <c r="AP19" i="4" a="1"/>
  <c r="AP19" i="4" s="1"/>
  <c r="AQ19" i="4" a="1"/>
  <c r="AQ19" i="4" s="1"/>
  <c r="AF26" i="4" a="1"/>
  <c r="AF26" i="4" s="1"/>
  <c r="T26" i="4" a="1"/>
  <c r="T26" i="4" s="1"/>
  <c r="U26" i="4" a="1"/>
  <c r="U26" i="4" s="1"/>
  <c r="V26" i="4" a="1"/>
  <c r="V26" i="4" s="1"/>
  <c r="W26" i="4" a="1"/>
  <c r="W26" i="4" s="1"/>
  <c r="X26" i="4" a="1"/>
  <c r="X26" i="4" s="1"/>
  <c r="Y26" i="4" a="1"/>
  <c r="Y26" i="4" s="1"/>
  <c r="Z26" i="4" a="1"/>
  <c r="Z26" i="4" s="1"/>
  <c r="AA26" i="4" a="1"/>
  <c r="AA26" i="4" s="1"/>
  <c r="AB26" i="4" a="1"/>
  <c r="AB26" i="4" s="1"/>
  <c r="AC26" i="4" a="1"/>
  <c r="AC26" i="4" s="1"/>
  <c r="AD26" i="4" a="1"/>
  <c r="AD26" i="4" s="1"/>
  <c r="T19" i="4" a="1"/>
  <c r="T19" i="4" s="1"/>
  <c r="U19" i="4" a="1"/>
  <c r="U19" i="4" s="1"/>
  <c r="X19" i="4" a="1"/>
  <c r="X19" i="4" s="1"/>
  <c r="Z19" i="4" a="1"/>
  <c r="Z19" i="4" s="1"/>
  <c r="AB19" i="4" a="1"/>
  <c r="AB19" i="4" s="1"/>
  <c r="AC19" i="4" a="1"/>
  <c r="AC19" i="4" s="1"/>
  <c r="AD19" i="4" a="1"/>
  <c r="AD19" i="4" s="1"/>
  <c r="S26" i="4" a="1"/>
  <c r="S26" i="4" s="1"/>
  <c r="AN5" i="35"/>
  <c r="AH5" i="35"/>
  <c r="C3" i="4"/>
  <c r="D13" i="35"/>
  <c r="D12" i="35"/>
  <c r="D11" i="35"/>
  <c r="D10" i="35"/>
  <c r="D9" i="35"/>
  <c r="P29" i="35"/>
  <c r="AO29" i="35"/>
  <c r="AP29" i="35"/>
  <c r="AQ29" i="35"/>
  <c r="AE32" i="35" l="1"/>
  <c r="AE21" i="35"/>
  <c r="AE20" i="35"/>
  <c r="AH82" i="42"/>
  <c r="AJ82" i="42"/>
  <c r="AD82" i="42"/>
  <c r="AR74" i="42"/>
  <c r="AD50" i="42"/>
  <c r="AC66" i="42"/>
  <c r="AD66" i="42"/>
  <c r="AK11" i="35" s="1"/>
  <c r="V66" i="42"/>
  <c r="V50" i="42"/>
  <c r="T50" i="42"/>
  <c r="AD58" i="42"/>
  <c r="AC58" i="42"/>
  <c r="AP74" i="42"/>
  <c r="AH74" i="42"/>
  <c r="AI58" i="42"/>
  <c r="AJ50" i="42"/>
  <c r="V82" i="42"/>
  <c r="U66" i="42"/>
  <c r="T82" i="42"/>
  <c r="AH66" i="42"/>
  <c r="AP66" i="42"/>
  <c r="AI66" i="42"/>
  <c r="AQ66" i="42"/>
  <c r="T58" i="42"/>
  <c r="AB58" i="42"/>
  <c r="AB50" i="42"/>
  <c r="AH50" i="42"/>
  <c r="AP50" i="42"/>
  <c r="AJ58" i="42"/>
  <c r="AR58" i="42"/>
  <c r="AQ10" i="35" s="1"/>
  <c r="AJ66" i="42"/>
  <c r="AR66" i="42"/>
  <c r="AR82" i="42"/>
  <c r="AQ13" i="35" s="1"/>
  <c r="W58" i="42"/>
  <c r="W66" i="42"/>
  <c r="W74" i="42"/>
  <c r="W82" i="42"/>
  <c r="AK58" i="42"/>
  <c r="AK66" i="42"/>
  <c r="AK74" i="42"/>
  <c r="AK82" i="42"/>
  <c r="AK40" i="35"/>
  <c r="AO40" i="35"/>
  <c r="X50" i="42"/>
  <c r="X58" i="42"/>
  <c r="X66" i="42"/>
  <c r="X74" i="42"/>
  <c r="X82" i="42"/>
  <c r="AL50" i="42"/>
  <c r="AL58" i="42"/>
  <c r="AL66" i="42"/>
  <c r="AL74" i="42"/>
  <c r="AL82" i="42"/>
  <c r="Y50" i="42"/>
  <c r="Y58" i="42"/>
  <c r="Y66" i="42"/>
  <c r="Y74" i="42"/>
  <c r="Y82" i="42"/>
  <c r="AH40" i="35"/>
  <c r="AM58" i="42"/>
  <c r="AM66" i="42"/>
  <c r="AM74" i="42"/>
  <c r="AM82" i="42"/>
  <c r="Z58" i="42"/>
  <c r="Z66" i="42"/>
  <c r="Z74" i="42"/>
  <c r="Z82" i="42"/>
  <c r="AN58" i="42"/>
  <c r="AN66" i="42"/>
  <c r="AN74" i="42"/>
  <c r="AN82" i="42"/>
  <c r="AQ40" i="35"/>
  <c r="S50" i="42"/>
  <c r="AA50" i="42"/>
  <c r="S58" i="42"/>
  <c r="AA58" i="42"/>
  <c r="S66" i="42"/>
  <c r="AA66" i="42"/>
  <c r="S74" i="42"/>
  <c r="AH12" i="35" s="1"/>
  <c r="AA74" i="42"/>
  <c r="S82" i="42"/>
  <c r="AA82" i="42"/>
  <c r="AG50" i="42"/>
  <c r="AO50" i="42"/>
  <c r="AG58" i="42"/>
  <c r="AO58" i="42"/>
  <c r="AG66" i="42"/>
  <c r="AO66" i="42"/>
  <c r="AG74" i="42"/>
  <c r="AN12" i="35" s="1"/>
  <c r="AO74" i="42"/>
  <c r="AG82" i="42"/>
  <c r="AN13" i="35" s="1"/>
  <c r="AO82" i="42"/>
  <c r="AK12" i="35"/>
  <c r="AQ12" i="35"/>
  <c r="AK13" i="35"/>
  <c r="W50" i="42"/>
  <c r="AK50" i="42"/>
  <c r="Z50" i="42"/>
  <c r="AN50" i="42"/>
  <c r="AM50" i="42"/>
  <c r="U50" i="42"/>
  <c r="AC50" i="42"/>
  <c r="AI50" i="42"/>
  <c r="AQ50" i="42"/>
  <c r="AP40" i="35"/>
  <c r="V84" i="42"/>
  <c r="AD84" i="42"/>
  <c r="AI29" i="35"/>
  <c r="AJ29" i="35"/>
  <c r="AK29" i="35"/>
  <c r="P54" i="35"/>
  <c r="J54" i="35"/>
  <c r="AR48" i="35"/>
  <c r="M46" i="5" s="1"/>
  <c r="AL48" i="35"/>
  <c r="K46" i="5" s="1"/>
  <c r="AA48" i="35"/>
  <c r="AC48" i="35" s="1"/>
  <c r="U48" i="35"/>
  <c r="O48" i="35"/>
  <c r="Q48" i="35" s="1"/>
  <c r="I48" i="35"/>
  <c r="K48" i="35" s="1"/>
  <c r="D46" i="5"/>
  <c r="C46" i="5"/>
  <c r="AB54" i="35"/>
  <c r="V54" i="35"/>
  <c r="S48" i="30"/>
  <c r="AG48" i="30"/>
  <c r="AU48" i="30"/>
  <c r="G53" i="30"/>
  <c r="H53" i="30"/>
  <c r="I53" i="30"/>
  <c r="J53" i="30"/>
  <c r="K53" i="30"/>
  <c r="L53" i="30"/>
  <c r="M53" i="30"/>
  <c r="N53" i="30"/>
  <c r="O53" i="30"/>
  <c r="P53" i="30"/>
  <c r="Q53" i="30"/>
  <c r="R53" i="30"/>
  <c r="U53" i="30"/>
  <c r="V53" i="30"/>
  <c r="W53" i="30"/>
  <c r="X53" i="30"/>
  <c r="Y53" i="30"/>
  <c r="Z53" i="30"/>
  <c r="AA53" i="30"/>
  <c r="AB53" i="30"/>
  <c r="AC53" i="30"/>
  <c r="AD53" i="30"/>
  <c r="AE53" i="30"/>
  <c r="AF53" i="30"/>
  <c r="AI53" i="30"/>
  <c r="AJ53" i="30"/>
  <c r="AK53" i="30"/>
  <c r="AL53" i="30"/>
  <c r="AM53" i="30"/>
  <c r="AN53" i="30"/>
  <c r="AO53" i="30"/>
  <c r="AP53" i="30"/>
  <c r="AQ53" i="30"/>
  <c r="AR53" i="30"/>
  <c r="AS53" i="30"/>
  <c r="AT53" i="30"/>
  <c r="A79" i="42"/>
  <c r="A80" i="42"/>
  <c r="A81" i="42"/>
  <c r="A78" i="42"/>
  <c r="A35" i="42"/>
  <c r="A77" i="42" s="1"/>
  <c r="A82" i="42" s="1"/>
  <c r="D41" i="42"/>
  <c r="C13" i="35"/>
  <c r="C10" i="35"/>
  <c r="C11" i="35"/>
  <c r="C12" i="35"/>
  <c r="C9" i="35"/>
  <c r="C47" i="41"/>
  <c r="D55" i="41" s="1"/>
  <c r="C38" i="41"/>
  <c r="D44" i="41" s="1"/>
  <c r="C28" i="41"/>
  <c r="D35" i="41" s="1"/>
  <c r="C16" i="41"/>
  <c r="D25" i="41" s="1"/>
  <c r="C5" i="41"/>
  <c r="D13" i="41" s="1"/>
  <c r="O3" i="41"/>
  <c r="C3" i="41"/>
  <c r="A2" i="42"/>
  <c r="F93" i="42"/>
  <c r="G19" i="4" s="1" a="1"/>
  <c r="G19" i="4" s="1"/>
  <c r="G93" i="42"/>
  <c r="H19" i="4" s="1" a="1"/>
  <c r="H19" i="4" s="1"/>
  <c r="H93" i="42"/>
  <c r="I19" i="4" s="1" a="1"/>
  <c r="I19" i="4" s="1"/>
  <c r="I93" i="42"/>
  <c r="J19" i="4" s="1" a="1"/>
  <c r="J19" i="4" s="1"/>
  <c r="J93" i="42"/>
  <c r="K19" i="4" s="1" a="1"/>
  <c r="K19" i="4" s="1"/>
  <c r="K93" i="42"/>
  <c r="L19" i="4" s="1" a="1"/>
  <c r="L19" i="4" s="1"/>
  <c r="L93" i="42"/>
  <c r="M19" i="4" s="1" a="1"/>
  <c r="M19" i="4" s="1"/>
  <c r="M93" i="42"/>
  <c r="N19" i="4" s="1" a="1"/>
  <c r="N19" i="4" s="1"/>
  <c r="N93" i="42"/>
  <c r="O19" i="4" s="1" a="1"/>
  <c r="O19" i="4" s="1"/>
  <c r="O93" i="42"/>
  <c r="P19" i="4" s="1" a="1"/>
  <c r="P19" i="4" s="1"/>
  <c r="P93" i="42"/>
  <c r="Q19" i="4" s="1" a="1"/>
  <c r="Q19" i="4" s="1"/>
  <c r="E93" i="42"/>
  <c r="F19" i="4" s="1" a="1"/>
  <c r="F19" i="4" s="1"/>
  <c r="A63" i="42"/>
  <c r="A73" i="42"/>
  <c r="A72" i="42"/>
  <c r="A71" i="42"/>
  <c r="A70" i="42"/>
  <c r="A65" i="42"/>
  <c r="A64" i="42"/>
  <c r="A62" i="42"/>
  <c r="A57" i="42"/>
  <c r="A56" i="42"/>
  <c r="A55" i="42"/>
  <c r="A54" i="42"/>
  <c r="A47" i="42"/>
  <c r="A48" i="42"/>
  <c r="A49" i="42"/>
  <c r="A46" i="42"/>
  <c r="A27" i="42"/>
  <c r="A33" i="42" s="1"/>
  <c r="D33" i="42"/>
  <c r="A19" i="42"/>
  <c r="A25" i="42" s="1"/>
  <c r="D25" i="42"/>
  <c r="A11" i="42"/>
  <c r="A17" i="42" s="1"/>
  <c r="A3" i="42"/>
  <c r="A9" i="42" s="1"/>
  <c r="D17" i="42"/>
  <c r="D9" i="42"/>
  <c r="AI13" i="35" l="1"/>
  <c r="AH84" i="42"/>
  <c r="AI12" i="35"/>
  <c r="T84" i="42"/>
  <c r="AQ11" i="35"/>
  <c r="AN10" i="35"/>
  <c r="AJ84" i="42"/>
  <c r="AP84" i="42"/>
  <c r="AN11" i="35"/>
  <c r="AQ9" i="35"/>
  <c r="AO13" i="35"/>
  <c r="AH13" i="35"/>
  <c r="AH11" i="35"/>
  <c r="AK9" i="35"/>
  <c r="AB84" i="42"/>
  <c r="AJ12" i="35"/>
  <c r="AI11" i="35"/>
  <c r="AK10" i="35"/>
  <c r="AH10" i="35"/>
  <c r="AR84" i="42"/>
  <c r="AJ11" i="35"/>
  <c r="AO11" i="35"/>
  <c r="AO10" i="35"/>
  <c r="Z84" i="42"/>
  <c r="AO9" i="35"/>
  <c r="AJ9" i="35"/>
  <c r="AH9" i="35"/>
  <c r="AQ84" i="42"/>
  <c r="AG84" i="42"/>
  <c r="S84" i="42"/>
  <c r="AN84" i="42"/>
  <c r="X84" i="42"/>
  <c r="AL84" i="42"/>
  <c r="AI10" i="35"/>
  <c r="AC84" i="42"/>
  <c r="AO84" i="42"/>
  <c r="AO12" i="35"/>
  <c r="AP12" i="35"/>
  <c r="AP11" i="35"/>
  <c r="AM84" i="42"/>
  <c r="AP10" i="35"/>
  <c r="Y84" i="42"/>
  <c r="AA84" i="42"/>
  <c r="AJ13" i="35"/>
  <c r="AK84" i="42"/>
  <c r="AI9" i="35"/>
  <c r="W84" i="42"/>
  <c r="AN9" i="35"/>
  <c r="AJ10" i="35"/>
  <c r="AP13" i="35"/>
  <c r="AI84" i="42"/>
  <c r="U84" i="42"/>
  <c r="AP9" i="35"/>
  <c r="A41" i="42"/>
  <c r="H46" i="5"/>
  <c r="W48" i="35"/>
  <c r="AD48" i="35"/>
  <c r="G46" i="5" s="1"/>
  <c r="K82" i="42"/>
  <c r="R13" i="35" s="1"/>
  <c r="L82" i="42"/>
  <c r="S13" i="35" s="1"/>
  <c r="G74" i="42"/>
  <c r="H12" i="35" s="1"/>
  <c r="E82" i="42"/>
  <c r="F13" i="35" s="1"/>
  <c r="M82" i="42"/>
  <c r="T13" i="35" s="1"/>
  <c r="H74" i="42"/>
  <c r="L12" i="35" s="1"/>
  <c r="F82" i="42"/>
  <c r="G13" i="35" s="1"/>
  <c r="N82" i="42"/>
  <c r="X13" i="35" s="1"/>
  <c r="G82" i="42"/>
  <c r="H13" i="35" s="1"/>
  <c r="O82" i="42"/>
  <c r="Y13" i="35" s="1"/>
  <c r="K74" i="42"/>
  <c r="R12" i="35" s="1"/>
  <c r="F74" i="42"/>
  <c r="G12" i="35" s="1"/>
  <c r="H82" i="42"/>
  <c r="L13" i="35" s="1"/>
  <c r="P82" i="42"/>
  <c r="Z13" i="35" s="1"/>
  <c r="I82" i="42"/>
  <c r="M13" i="35" s="1"/>
  <c r="J82" i="42"/>
  <c r="N13" i="35" s="1"/>
  <c r="O74" i="42"/>
  <c r="Y12" i="35" s="1"/>
  <c r="A61" i="42"/>
  <c r="A66" i="42" s="1"/>
  <c r="P74" i="42"/>
  <c r="Z12" i="35" s="1"/>
  <c r="J74" i="42"/>
  <c r="N12" i="35" s="1"/>
  <c r="L74" i="42"/>
  <c r="S12" i="35" s="1"/>
  <c r="K66" i="42"/>
  <c r="R11" i="35" s="1"/>
  <c r="N74" i="42"/>
  <c r="X12" i="35" s="1"/>
  <c r="M74" i="42"/>
  <c r="T12" i="35" s="1"/>
  <c r="G66" i="42"/>
  <c r="H11" i="35" s="1"/>
  <c r="O66" i="42"/>
  <c r="Y11" i="35" s="1"/>
  <c r="I74" i="42"/>
  <c r="M12" i="35" s="1"/>
  <c r="E74" i="42"/>
  <c r="F12" i="35" s="1"/>
  <c r="H66" i="42"/>
  <c r="L11" i="35" s="1"/>
  <c r="M66" i="42"/>
  <c r="T11" i="35" s="1"/>
  <c r="I66" i="42"/>
  <c r="M11" i="35" s="1"/>
  <c r="A69" i="42"/>
  <c r="A74" i="42" s="1"/>
  <c r="E66" i="42"/>
  <c r="F11" i="35" s="1"/>
  <c r="F66" i="42"/>
  <c r="G11" i="35" s="1"/>
  <c r="A53" i="42"/>
  <c r="A58" i="42" s="1"/>
  <c r="A45" i="42"/>
  <c r="A50" i="42" s="1"/>
  <c r="M18" i="43"/>
  <c r="M12" i="43"/>
  <c r="M10" i="43"/>
  <c r="M8" i="43"/>
  <c r="L18" i="43"/>
  <c r="L12" i="43"/>
  <c r="L10" i="43"/>
  <c r="L8" i="43"/>
  <c r="K18" i="43"/>
  <c r="K12" i="43"/>
  <c r="K10" i="43"/>
  <c r="K8" i="43"/>
  <c r="K44" i="43" s="1"/>
  <c r="I11" i="35" l="1"/>
  <c r="K11" i="35" s="1"/>
  <c r="L44" i="43"/>
  <c r="M44" i="43"/>
  <c r="AP7" i="4" a="1"/>
  <c r="AP7" i="4" s="1"/>
  <c r="AB7" i="4" a="1"/>
  <c r="AB7" i="4" s="1"/>
  <c r="AO7" i="4" a="1"/>
  <c r="AO7" i="4" s="1"/>
  <c r="AL7" i="4" a="1"/>
  <c r="AL7" i="4" s="1"/>
  <c r="AG7" i="4" a="1"/>
  <c r="AG7" i="4" s="1"/>
  <c r="T7" i="4" a="1"/>
  <c r="T7" i="4" s="1"/>
  <c r="V7" i="4" a="1"/>
  <c r="V7" i="4" s="1"/>
  <c r="AH7" i="4" a="1"/>
  <c r="AH7" i="4" s="1"/>
  <c r="AI7" i="4" a="1"/>
  <c r="AI7" i="4" s="1"/>
  <c r="AK7" i="4" a="1"/>
  <c r="AK7" i="4" s="1"/>
  <c r="AN7" i="4" a="1"/>
  <c r="AN7" i="4" s="1"/>
  <c r="AQ7" i="4" a="1"/>
  <c r="AQ7" i="4" s="1"/>
  <c r="AF7" i="4" a="1"/>
  <c r="AF7" i="4" s="1"/>
  <c r="AM7" i="4" a="1"/>
  <c r="AM7" i="4" s="1"/>
  <c r="AJ7" i="4" a="1"/>
  <c r="AJ7" i="4" s="1"/>
  <c r="AA7" i="4" a="1"/>
  <c r="AA7" i="4" s="1"/>
  <c r="U7" i="4" a="1"/>
  <c r="U7" i="4" s="1"/>
  <c r="Y7" i="4" a="1"/>
  <c r="Y7" i="4" s="1"/>
  <c r="AD7" i="4" a="1"/>
  <c r="AD7" i="4" s="1"/>
  <c r="Z7" i="4" a="1"/>
  <c r="Z7" i="4" s="1"/>
  <c r="W7" i="4" a="1"/>
  <c r="W7" i="4" s="1"/>
  <c r="AC7" i="4" a="1"/>
  <c r="AC7" i="4" s="1"/>
  <c r="S7" i="4" a="1"/>
  <c r="S7" i="4" s="1"/>
  <c r="X7" i="4" a="1"/>
  <c r="X7" i="4" s="1"/>
  <c r="D11" i="5"/>
  <c r="C11" i="5"/>
  <c r="J66" i="42" l="1"/>
  <c r="N11" i="35" s="1"/>
  <c r="O11" i="35" s="1"/>
  <c r="Q11" i="35" s="1"/>
  <c r="L66" i="42"/>
  <c r="S11" i="35" s="1"/>
  <c r="U11" i="35" s="1"/>
  <c r="W11" i="35" s="1"/>
  <c r="N66" i="42" l="1"/>
  <c r="X11" i="35" s="1"/>
  <c r="P66" i="42" l="1"/>
  <c r="Z11" i="35" s="1"/>
  <c r="T15" i="11"/>
  <c r="AQ59" i="35" l="1"/>
  <c r="AP59" i="35"/>
  <c r="AO59" i="35"/>
  <c r="AN59" i="35"/>
  <c r="AR58" i="35"/>
  <c r="M57" i="5" s="1"/>
  <c r="AR57" i="35"/>
  <c r="AR59" i="35" s="1"/>
  <c r="AR52" i="35"/>
  <c r="M50" i="5" s="1"/>
  <c r="AR50" i="35"/>
  <c r="M48" i="5" s="1"/>
  <c r="AR49" i="35"/>
  <c r="M47" i="5" s="1"/>
  <c r="AR47" i="35"/>
  <c r="M45" i="5" s="1"/>
  <c r="AR46" i="35"/>
  <c r="M44" i="5" s="1"/>
  <c r="AR45" i="35"/>
  <c r="M43" i="5" s="1"/>
  <c r="AR44" i="35"/>
  <c r="M42" i="5" s="1"/>
  <c r="AR37" i="35"/>
  <c r="M35" i="5" s="1"/>
  <c r="AR31" i="35"/>
  <c r="M29" i="5" s="1"/>
  <c r="AR30" i="35"/>
  <c r="M28" i="5" s="1"/>
  <c r="AN29" i="35"/>
  <c r="AR29" i="35" s="1"/>
  <c r="AR17" i="35"/>
  <c r="M16" i="5" s="1"/>
  <c r="AR16" i="35"/>
  <c r="M15" i="5" s="1"/>
  <c r="AR15" i="35"/>
  <c r="M14" i="5" s="1"/>
  <c r="K50" i="5"/>
  <c r="AI59" i="35"/>
  <c r="AJ59" i="35"/>
  <c r="AK59" i="35"/>
  <c r="AL58" i="35"/>
  <c r="K57" i="5" s="1"/>
  <c r="AL57" i="35"/>
  <c r="AL37" i="35"/>
  <c r="K35" i="5" s="1"/>
  <c r="AH10" i="11"/>
  <c r="AJ10" i="11"/>
  <c r="AH5" i="11"/>
  <c r="AS65" i="11"/>
  <c r="AR65" i="11"/>
  <c r="AP65" i="11"/>
  <c r="AO65" i="11"/>
  <c r="AM65" i="11"/>
  <c r="AL65" i="11"/>
  <c r="AK65" i="11"/>
  <c r="AJ65" i="11"/>
  <c r="AI65" i="11"/>
  <c r="AQ65" i="11"/>
  <c r="AN65" i="11"/>
  <c r="AH65" i="11"/>
  <c r="AS58" i="11"/>
  <c r="AR58" i="11"/>
  <c r="AQ58" i="11"/>
  <c r="AP58" i="11"/>
  <c r="AO58" i="11"/>
  <c r="AN58" i="11"/>
  <c r="AM58" i="11"/>
  <c r="AL58" i="11"/>
  <c r="AK58" i="11"/>
  <c r="AJ58" i="11"/>
  <c r="AI58" i="11"/>
  <c r="AH58" i="11"/>
  <c r="AS52" i="11"/>
  <c r="AR52" i="11"/>
  <c r="AQ52" i="11"/>
  <c r="AP52" i="11"/>
  <c r="AO52" i="11"/>
  <c r="AN52" i="11"/>
  <c r="AM52" i="11"/>
  <c r="AL52" i="11"/>
  <c r="AK52" i="11"/>
  <c r="AJ52" i="11"/>
  <c r="AI52" i="11"/>
  <c r="AH52" i="11"/>
  <c r="AS46" i="11"/>
  <c r="AR46" i="11"/>
  <c r="AQ46" i="11"/>
  <c r="AP46" i="11"/>
  <c r="AO46" i="11"/>
  <c r="AN46" i="11"/>
  <c r="AM46" i="11"/>
  <c r="AL46" i="11"/>
  <c r="AK46" i="11"/>
  <c r="AJ46" i="11"/>
  <c r="AI46" i="11"/>
  <c r="AH46" i="11"/>
  <c r="AS39" i="11"/>
  <c r="AR39" i="11"/>
  <c r="AQ39" i="11"/>
  <c r="AP39" i="11"/>
  <c r="AO39" i="11"/>
  <c r="AN39" i="11"/>
  <c r="AM39" i="11"/>
  <c r="AL39" i="11"/>
  <c r="AK39" i="11"/>
  <c r="AJ39" i="11"/>
  <c r="AI39" i="11"/>
  <c r="AH39" i="11"/>
  <c r="AS32" i="11"/>
  <c r="AR32" i="11"/>
  <c r="AQ32" i="11"/>
  <c r="AP32" i="11"/>
  <c r="AK32" i="11"/>
  <c r="AJ32" i="11"/>
  <c r="AI32" i="11"/>
  <c r="AH32" i="11"/>
  <c r="AO32" i="11"/>
  <c r="AN32" i="11"/>
  <c r="AM32" i="11"/>
  <c r="AL32" i="11"/>
  <c r="AS23" i="11"/>
  <c r="AR23" i="11"/>
  <c r="AQ23" i="11"/>
  <c r="AP23" i="11"/>
  <c r="AO23" i="11"/>
  <c r="AN23" i="11"/>
  <c r="AM23" i="11"/>
  <c r="AL23" i="11"/>
  <c r="AK23" i="11"/>
  <c r="AJ23" i="11"/>
  <c r="AI23" i="11"/>
  <c r="AH23" i="11"/>
  <c r="AS15" i="11"/>
  <c r="AR15" i="11"/>
  <c r="AQ15" i="11"/>
  <c r="AP15" i="11"/>
  <c r="AO15" i="11"/>
  <c r="AN15" i="11"/>
  <c r="AM15" i="11"/>
  <c r="AL15" i="11"/>
  <c r="AK15" i="11"/>
  <c r="AJ15" i="11"/>
  <c r="AI15" i="11"/>
  <c r="AH15" i="11"/>
  <c r="AS10" i="11"/>
  <c r="AN10" i="11"/>
  <c r="AL10" i="11"/>
  <c r="AR10" i="11"/>
  <c r="AQ10" i="11"/>
  <c r="AP10" i="11"/>
  <c r="AO10" i="11"/>
  <c r="AM10" i="11"/>
  <c r="AK10" i="11"/>
  <c r="AI10" i="11"/>
  <c r="AD23" i="11"/>
  <c r="AB23" i="11"/>
  <c r="AA23" i="11"/>
  <c r="W23" i="11"/>
  <c r="V23" i="11"/>
  <c r="T5" i="11"/>
  <c r="AE65" i="11"/>
  <c r="AD65" i="11"/>
  <c r="AB65" i="11"/>
  <c r="AA65" i="11"/>
  <c r="Y65" i="11"/>
  <c r="X65" i="11"/>
  <c r="W65" i="11"/>
  <c r="V65" i="11"/>
  <c r="U65" i="11"/>
  <c r="T65" i="11"/>
  <c r="AC65" i="11"/>
  <c r="Z65" i="11"/>
  <c r="AE58" i="11"/>
  <c r="AD58" i="11"/>
  <c r="AC58" i="11"/>
  <c r="AB58" i="11"/>
  <c r="AA58" i="11"/>
  <c r="Z58" i="11"/>
  <c r="Y58" i="11"/>
  <c r="X58" i="11"/>
  <c r="W58" i="11"/>
  <c r="V58" i="11"/>
  <c r="U58" i="11"/>
  <c r="T58" i="11"/>
  <c r="AE52" i="11"/>
  <c r="AD52" i="11"/>
  <c r="AC52" i="11"/>
  <c r="AB52" i="11"/>
  <c r="AA52" i="11"/>
  <c r="Z52" i="11"/>
  <c r="Y52" i="11"/>
  <c r="X52" i="11"/>
  <c r="W52" i="11"/>
  <c r="V52" i="11"/>
  <c r="U52" i="11"/>
  <c r="T52" i="11"/>
  <c r="AE46" i="11"/>
  <c r="AD46" i="11"/>
  <c r="AC46" i="11"/>
  <c r="AB46" i="11"/>
  <c r="AA46" i="11"/>
  <c r="Z46" i="11"/>
  <c r="Y46" i="11"/>
  <c r="X46" i="11"/>
  <c r="W46" i="11"/>
  <c r="V46" i="11"/>
  <c r="U46" i="11"/>
  <c r="T46" i="11"/>
  <c r="AE39" i="11"/>
  <c r="AD39" i="11"/>
  <c r="AC39" i="11"/>
  <c r="AB39" i="11"/>
  <c r="AA39" i="11"/>
  <c r="Z39" i="11"/>
  <c r="Y39" i="11"/>
  <c r="X39" i="11"/>
  <c r="W39" i="11"/>
  <c r="V39" i="11"/>
  <c r="U39" i="11"/>
  <c r="T39" i="11"/>
  <c r="Y32" i="11"/>
  <c r="V32" i="11"/>
  <c r="AE32" i="11"/>
  <c r="AD32" i="11"/>
  <c r="AC32" i="11"/>
  <c r="AB32" i="11"/>
  <c r="AA32" i="11"/>
  <c r="Z32" i="11"/>
  <c r="X32" i="11"/>
  <c r="W32" i="11"/>
  <c r="U32" i="11"/>
  <c r="T32" i="11"/>
  <c r="Z23" i="11"/>
  <c r="T23" i="11"/>
  <c r="AE23" i="11"/>
  <c r="Y23" i="11"/>
  <c r="X23" i="11"/>
  <c r="U23" i="11"/>
  <c r="AE15" i="11"/>
  <c r="AD15" i="11"/>
  <c r="AC15" i="11"/>
  <c r="AB15" i="11"/>
  <c r="AA15" i="11"/>
  <c r="Z15" i="11"/>
  <c r="Y15" i="11"/>
  <c r="X15" i="11"/>
  <c r="W15" i="11"/>
  <c r="V15" i="11"/>
  <c r="U15" i="11"/>
  <c r="T10" i="11"/>
  <c r="AE10" i="11"/>
  <c r="AD10" i="11"/>
  <c r="AC10" i="11"/>
  <c r="AB10" i="11"/>
  <c r="AA10" i="11"/>
  <c r="Z10" i="11"/>
  <c r="Y10" i="11"/>
  <c r="X10" i="11"/>
  <c r="W10" i="11"/>
  <c r="V10" i="11"/>
  <c r="U10" i="11"/>
  <c r="AL30" i="35"/>
  <c r="K28" i="5" s="1"/>
  <c r="M27" i="5" l="1"/>
  <c r="M56" i="5"/>
  <c r="M58" i="5" s="1"/>
  <c r="AL59" i="35"/>
  <c r="K56" i="5"/>
  <c r="AT15" i="11"/>
  <c r="AT58" i="11"/>
  <c r="AF15" i="11"/>
  <c r="AC23" i="11"/>
  <c r="AC68" i="11" s="1"/>
  <c r="AB22" i="4" s="1" a="1"/>
  <c r="AB22" i="4" s="1"/>
  <c r="AT39" i="11"/>
  <c r="AT46" i="11"/>
  <c r="AK68" i="11"/>
  <c r="AI22" i="4" s="1" a="1"/>
  <c r="AI22" i="4" s="1"/>
  <c r="AP68" i="11"/>
  <c r="AN22" i="4" s="1" a="1"/>
  <c r="AN22" i="4" s="1"/>
  <c r="AS68" i="11"/>
  <c r="AQ22" i="4" s="1" a="1"/>
  <c r="AQ22" i="4" s="1"/>
  <c r="AO68" i="11"/>
  <c r="AM22" i="4" s="1" a="1"/>
  <c r="AM22" i="4" s="1"/>
  <c r="AT10" i="11"/>
  <c r="AI68" i="11"/>
  <c r="AG22" i="4" s="1" a="1"/>
  <c r="AG22" i="4" s="1"/>
  <c r="AN68" i="11"/>
  <c r="AL22" i="4" s="1" a="1"/>
  <c r="AL22" i="4" s="1"/>
  <c r="AL68" i="11"/>
  <c r="AJ22" i="4" s="1" a="1"/>
  <c r="AJ22" i="4" s="1"/>
  <c r="AM68" i="11"/>
  <c r="AK22" i="4" s="1" a="1"/>
  <c r="AK22" i="4" s="1"/>
  <c r="AT32" i="11"/>
  <c r="AH68" i="11"/>
  <c r="AT65" i="11"/>
  <c r="AT23" i="11"/>
  <c r="AJ68" i="11"/>
  <c r="AH22" i="4" s="1" a="1"/>
  <c r="AH22" i="4" s="1"/>
  <c r="AR68" i="11"/>
  <c r="AP22" i="4" s="1" a="1"/>
  <c r="AP22" i="4" s="1"/>
  <c r="AQ68" i="11"/>
  <c r="AO22" i="4" s="1" a="1"/>
  <c r="AO22" i="4" s="1"/>
  <c r="AT52" i="11"/>
  <c r="AF58" i="11"/>
  <c r="AF39" i="11"/>
  <c r="V68" i="11"/>
  <c r="U22" i="4" s="1" a="1"/>
  <c r="U22" i="4" s="1"/>
  <c r="AD68" i="11"/>
  <c r="AC22" i="4" s="1" a="1"/>
  <c r="AC22" i="4" s="1"/>
  <c r="Y68" i="11"/>
  <c r="X22" i="4" s="1" a="1"/>
  <c r="X22" i="4" s="1"/>
  <c r="Z68" i="11"/>
  <c r="Y22" i="4" s="1" a="1"/>
  <c r="Y22" i="4" s="1"/>
  <c r="U68" i="11"/>
  <c r="T22" i="4" s="1" a="1"/>
  <c r="T22" i="4" s="1"/>
  <c r="AF10" i="11"/>
  <c r="AF32" i="11"/>
  <c r="W68" i="11"/>
  <c r="V22" i="4" s="1" a="1"/>
  <c r="V22" i="4" s="1"/>
  <c r="AE68" i="11"/>
  <c r="AD22" i="4" s="1" a="1"/>
  <c r="AD22" i="4" s="1"/>
  <c r="AA68" i="11"/>
  <c r="Z22" i="4" s="1" a="1"/>
  <c r="Z22" i="4" s="1"/>
  <c r="AB68" i="11"/>
  <c r="AA22" i="4" s="1" a="1"/>
  <c r="AA22" i="4" s="1"/>
  <c r="X68" i="11"/>
  <c r="W22" i="4" s="1" a="1"/>
  <c r="W22" i="4" s="1"/>
  <c r="T68" i="11"/>
  <c r="AF46" i="11"/>
  <c r="AF52" i="11"/>
  <c r="AF65" i="11"/>
  <c r="S22" i="4" l="1" a="1"/>
  <c r="S22" i="4" s="1"/>
  <c r="AF22" i="4" a="1"/>
  <c r="AF22" i="4" s="1"/>
  <c r="AF23" i="11"/>
  <c r="C7" i="5" l="1"/>
  <c r="AL17" i="35"/>
  <c r="K16" i="5" s="1"/>
  <c r="AL16" i="35" l="1"/>
  <c r="K15" i="5" s="1"/>
  <c r="AJ30" i="4" l="1"/>
  <c r="AQ30" i="4"/>
  <c r="G65" i="11"/>
  <c r="H65" i="11"/>
  <c r="I65" i="11"/>
  <c r="J65" i="11"/>
  <c r="K65" i="11"/>
  <c r="L65" i="11"/>
  <c r="M65" i="11"/>
  <c r="N65" i="11"/>
  <c r="O65" i="11"/>
  <c r="P65" i="11"/>
  <c r="Q65" i="11"/>
  <c r="F65" i="11"/>
  <c r="G23" i="11"/>
  <c r="H23" i="11"/>
  <c r="I23" i="11"/>
  <c r="J23" i="11"/>
  <c r="K23" i="11"/>
  <c r="L23" i="11"/>
  <c r="M23" i="11"/>
  <c r="N23" i="11"/>
  <c r="O23" i="11"/>
  <c r="P23" i="11"/>
  <c r="Q23" i="11"/>
  <c r="F23" i="11"/>
  <c r="T30" i="4" l="1"/>
  <c r="V30" i="4"/>
  <c r="AH30" i="4"/>
  <c r="AK30" i="4"/>
  <c r="AP30" i="4"/>
  <c r="AN30" i="4"/>
  <c r="AM30" i="4"/>
  <c r="AG30" i="4"/>
  <c r="AQ28" i="43"/>
  <c r="AJ28" i="43" l="1"/>
  <c r="AB28" i="43"/>
  <c r="AR28" i="43"/>
  <c r="J28" i="43"/>
  <c r="AK28" i="43"/>
  <c r="K28" i="43"/>
  <c r="L28" i="43"/>
  <c r="AS28" i="43"/>
  <c r="R28" i="43"/>
  <c r="S28" i="43"/>
  <c r="AA28" i="43"/>
  <c r="T28" i="43"/>
  <c r="AM28" i="43"/>
  <c r="AL28" i="43"/>
  <c r="K14" i="43"/>
  <c r="L14" i="43"/>
  <c r="M14" i="43"/>
  <c r="M28" i="43"/>
  <c r="AD28" i="43"/>
  <c r="K16" i="43"/>
  <c r="L16" i="43"/>
  <c r="M16" i="43"/>
  <c r="N28" i="43"/>
  <c r="W28" i="43"/>
  <c r="AE28" i="43"/>
  <c r="AN28" i="43"/>
  <c r="AC28" i="43"/>
  <c r="AT28" i="43"/>
  <c r="U28" i="43"/>
  <c r="AU28" i="43"/>
  <c r="K20" i="43"/>
  <c r="L20" i="43"/>
  <c r="M20" i="43"/>
  <c r="O28" i="43"/>
  <c r="X28" i="43"/>
  <c r="AF28" i="43"/>
  <c r="AO28" i="43"/>
  <c r="P28" i="43"/>
  <c r="Y28" i="43"/>
  <c r="AG28" i="43"/>
  <c r="AP28" i="43"/>
  <c r="Q28" i="43"/>
  <c r="Z28" i="43"/>
  <c r="AH28" i="43"/>
  <c r="AO30" i="4"/>
  <c r="AI30" i="4"/>
  <c r="AL30" i="4"/>
  <c r="AB30" i="4"/>
  <c r="Z30" i="4"/>
  <c r="AC30" i="4"/>
  <c r="W30" i="4"/>
  <c r="X30" i="4"/>
  <c r="U30" i="4"/>
  <c r="AA30" i="4"/>
  <c r="AD30" i="4"/>
  <c r="Y30" i="4"/>
  <c r="AA57" i="35"/>
  <c r="O57" i="35"/>
  <c r="D63" i="5"/>
  <c r="D62" i="5"/>
  <c r="D61" i="5"/>
  <c r="C62" i="5"/>
  <c r="C63" i="5"/>
  <c r="C61" i="5"/>
  <c r="D57" i="5"/>
  <c r="D56" i="5"/>
  <c r="C57" i="5"/>
  <c r="C56" i="5"/>
  <c r="D50" i="5"/>
  <c r="D49" i="5"/>
  <c r="D48" i="5"/>
  <c r="D47" i="5"/>
  <c r="D45" i="5"/>
  <c r="D44" i="5"/>
  <c r="D43" i="5"/>
  <c r="D42" i="5"/>
  <c r="C43" i="5"/>
  <c r="C44" i="5"/>
  <c r="C45" i="5"/>
  <c r="C47" i="5"/>
  <c r="C48" i="5"/>
  <c r="C49" i="5"/>
  <c r="C50" i="5"/>
  <c r="C42" i="5"/>
  <c r="D38" i="5"/>
  <c r="D37" i="5"/>
  <c r="D36" i="5"/>
  <c r="D35" i="5"/>
  <c r="D34" i="5"/>
  <c r="D33" i="5"/>
  <c r="D32" i="5"/>
  <c r="D31" i="5"/>
  <c r="C32" i="5"/>
  <c r="C33" i="5"/>
  <c r="C34" i="5"/>
  <c r="C35" i="5"/>
  <c r="C36" i="5"/>
  <c r="C37" i="5"/>
  <c r="C38" i="5"/>
  <c r="C31" i="5"/>
  <c r="D29" i="5"/>
  <c r="D28" i="5"/>
  <c r="C29" i="5"/>
  <c r="C28" i="5"/>
  <c r="D26" i="5"/>
  <c r="D25" i="5"/>
  <c r="D24" i="5"/>
  <c r="C25" i="5"/>
  <c r="C26" i="5"/>
  <c r="C24" i="5"/>
  <c r="D21" i="5"/>
  <c r="D20" i="5"/>
  <c r="C21" i="5"/>
  <c r="C20" i="5"/>
  <c r="D16" i="5"/>
  <c r="D15" i="5"/>
  <c r="D14" i="5"/>
  <c r="D13" i="5"/>
  <c r="D12" i="5"/>
  <c r="D10" i="5"/>
  <c r="D9" i="5"/>
  <c r="D8" i="5"/>
  <c r="C16" i="5"/>
  <c r="C13" i="5"/>
  <c r="C14" i="5"/>
  <c r="C15" i="5"/>
  <c r="C12" i="5"/>
  <c r="C9" i="5"/>
  <c r="C10" i="5"/>
  <c r="C8" i="5"/>
  <c r="G39" i="11"/>
  <c r="H39" i="11"/>
  <c r="I39" i="11"/>
  <c r="J39" i="11"/>
  <c r="K39" i="11"/>
  <c r="L39" i="11"/>
  <c r="M39" i="11"/>
  <c r="N39" i="11"/>
  <c r="O39" i="11"/>
  <c r="P39" i="11"/>
  <c r="Q39" i="11"/>
  <c r="F39" i="11"/>
  <c r="F10" i="11"/>
  <c r="G10" i="11"/>
  <c r="H10" i="11"/>
  <c r="I10" i="11"/>
  <c r="J10" i="11"/>
  <c r="K10" i="11"/>
  <c r="L10" i="11"/>
  <c r="M10" i="11"/>
  <c r="N10" i="11"/>
  <c r="O10" i="11"/>
  <c r="P10" i="11"/>
  <c r="Q10" i="11"/>
  <c r="N14" i="43"/>
  <c r="O14" i="43"/>
  <c r="P14" i="43"/>
  <c r="P43" i="43" s="1"/>
  <c r="Q14" i="43"/>
  <c r="R14" i="43"/>
  <c r="S14" i="43"/>
  <c r="S43" i="43" s="1"/>
  <c r="T14" i="43"/>
  <c r="U14" i="43"/>
  <c r="J14" i="43"/>
  <c r="J43" i="43" s="1"/>
  <c r="N12" i="43"/>
  <c r="O12" i="43"/>
  <c r="P12" i="43"/>
  <c r="Q12" i="43"/>
  <c r="R12" i="43"/>
  <c r="S12" i="43"/>
  <c r="T12" i="43"/>
  <c r="U12" i="43"/>
  <c r="J12" i="43"/>
  <c r="L38" i="43"/>
  <c r="N10" i="43"/>
  <c r="O10" i="43"/>
  <c r="P10" i="43"/>
  <c r="Q10" i="43"/>
  <c r="R10" i="43"/>
  <c r="S10" i="43"/>
  <c r="T10" i="43"/>
  <c r="U10" i="43"/>
  <c r="J10" i="43"/>
  <c r="J8" i="43"/>
  <c r="K38" i="43"/>
  <c r="AS18" i="43"/>
  <c r="AU43" i="43"/>
  <c r="AR43" i="43"/>
  <c r="AQ43" i="43"/>
  <c r="AJ43" i="43"/>
  <c r="AH43" i="43"/>
  <c r="AC43" i="43"/>
  <c r="AA43" i="43"/>
  <c r="Z43" i="43"/>
  <c r="U43" i="43"/>
  <c r="T43" i="43"/>
  <c r="R43" i="43"/>
  <c r="Q43" i="43"/>
  <c r="O43" i="43"/>
  <c r="N43" i="43"/>
  <c r="M43" i="43"/>
  <c r="L43" i="43"/>
  <c r="K43" i="43"/>
  <c r="AI37" i="43"/>
  <c r="V37"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AU26" i="43"/>
  <c r="AT26" i="43"/>
  <c r="AS26" i="43"/>
  <c r="AR26" i="43"/>
  <c r="AQ26" i="43"/>
  <c r="AP26" i="43"/>
  <c r="AO26" i="43"/>
  <c r="AN26" i="43"/>
  <c r="AM26" i="43"/>
  <c r="AL26" i="43"/>
  <c r="AK26" i="43"/>
  <c r="AJ26" i="43"/>
  <c r="AH26" i="43"/>
  <c r="AG26" i="43"/>
  <c r="AF26" i="43"/>
  <c r="AE26" i="43"/>
  <c r="AD26" i="43"/>
  <c r="AC26" i="43"/>
  <c r="AB26" i="43"/>
  <c r="AA26" i="43"/>
  <c r="Z26" i="43"/>
  <c r="Y26" i="43"/>
  <c r="X26" i="43"/>
  <c r="W26" i="43"/>
  <c r="U26" i="43"/>
  <c r="T26" i="43"/>
  <c r="S26" i="43"/>
  <c r="R26" i="43"/>
  <c r="Q26" i="43"/>
  <c r="P26" i="43"/>
  <c r="O26" i="43"/>
  <c r="N26" i="43"/>
  <c r="M26" i="43"/>
  <c r="L26" i="43"/>
  <c r="K26" i="43"/>
  <c r="J26" i="43"/>
  <c r="AU24" i="43"/>
  <c r="AT24" i="43"/>
  <c r="AS24" i="43"/>
  <c r="AR24" i="43"/>
  <c r="AQ24" i="43"/>
  <c r="AP24" i="43"/>
  <c r="AO24" i="43"/>
  <c r="AN24" i="43"/>
  <c r="AM24" i="43"/>
  <c r="AL24" i="43"/>
  <c r="AK24" i="43"/>
  <c r="AJ24" i="43"/>
  <c r="AH24" i="43"/>
  <c r="AG24" i="43"/>
  <c r="AF24" i="43"/>
  <c r="AE24" i="43"/>
  <c r="AD24" i="43"/>
  <c r="AC24" i="43"/>
  <c r="AB24" i="43"/>
  <c r="AA24" i="43"/>
  <c r="Z24" i="43"/>
  <c r="Y24" i="43"/>
  <c r="X24" i="43"/>
  <c r="W24" i="43"/>
  <c r="U24" i="43"/>
  <c r="T24" i="43"/>
  <c r="S24" i="43"/>
  <c r="R24" i="43"/>
  <c r="Q24" i="43"/>
  <c r="P24" i="43"/>
  <c r="O24" i="43"/>
  <c r="N24" i="43"/>
  <c r="M24" i="43"/>
  <c r="L24" i="43"/>
  <c r="K24" i="43"/>
  <c r="J24" i="43"/>
  <c r="AU22" i="43"/>
  <c r="AT22" i="43"/>
  <c r="AS22" i="43"/>
  <c r="AR22" i="43"/>
  <c r="AQ22" i="43"/>
  <c r="AP22" i="43"/>
  <c r="AO22" i="43"/>
  <c r="AN22" i="43"/>
  <c r="AM22" i="43"/>
  <c r="AL22" i="43"/>
  <c r="AK22" i="43"/>
  <c r="AJ22" i="43"/>
  <c r="AH22" i="43"/>
  <c r="AG22" i="43"/>
  <c r="AF22" i="43"/>
  <c r="AE22" i="43"/>
  <c r="AD22" i="43"/>
  <c r="AC22" i="43"/>
  <c r="AB22" i="43"/>
  <c r="AA22" i="43"/>
  <c r="Z22" i="43"/>
  <c r="Y22" i="43"/>
  <c r="X22" i="43"/>
  <c r="W22" i="43"/>
  <c r="U22" i="43"/>
  <c r="T22" i="43"/>
  <c r="S22" i="43"/>
  <c r="R22" i="43"/>
  <c r="Q22" i="43"/>
  <c r="P22" i="43"/>
  <c r="O22" i="43"/>
  <c r="N22" i="43"/>
  <c r="M22" i="43"/>
  <c r="L22" i="43"/>
  <c r="K22" i="43"/>
  <c r="J22" i="43"/>
  <c r="AS20" i="43"/>
  <c r="AT18" i="43"/>
  <c r="AP18" i="43"/>
  <c r="AL18" i="43"/>
  <c r="AG18" i="43"/>
  <c r="AC18" i="43"/>
  <c r="Y18" i="43"/>
  <c r="T18" i="43"/>
  <c r="P18" i="43"/>
  <c r="AU16" i="43"/>
  <c r="AT16" i="43"/>
  <c r="AS16" i="43"/>
  <c r="AR16" i="43"/>
  <c r="AQ16" i="43"/>
  <c r="AP16" i="43"/>
  <c r="AO16" i="43"/>
  <c r="AN16" i="43"/>
  <c r="AM16" i="43"/>
  <c r="AL16" i="43"/>
  <c r="AK16" i="43"/>
  <c r="AJ16" i="43"/>
  <c r="AH16" i="43"/>
  <c r="AG16" i="43"/>
  <c r="AF16" i="43"/>
  <c r="AE16" i="43"/>
  <c r="AD16" i="43"/>
  <c r="AC16" i="43"/>
  <c r="AB16" i="43"/>
  <c r="AA16" i="43"/>
  <c r="Z16" i="43"/>
  <c r="Y16" i="43"/>
  <c r="X16" i="43"/>
  <c r="W16" i="43"/>
  <c r="U16" i="43"/>
  <c r="T16" i="43"/>
  <c r="S16" i="43"/>
  <c r="R16" i="43"/>
  <c r="Q16" i="43"/>
  <c r="P16" i="43"/>
  <c r="O16" i="43"/>
  <c r="N16" i="43"/>
  <c r="J16" i="43"/>
  <c r="AS14" i="43"/>
  <c r="AS43" i="43" s="1"/>
  <c r="AQ14" i="43"/>
  <c r="AM14" i="43"/>
  <c r="AM43" i="43" s="1"/>
  <c r="AL14" i="43"/>
  <c r="AL43" i="43" s="1"/>
  <c r="AG14" i="43"/>
  <c r="AG43" i="43" s="1"/>
  <c r="AF14" i="43"/>
  <c r="AF43" i="43" s="1"/>
  <c r="AB14" i="43"/>
  <c r="AB43" i="43" s="1"/>
  <c r="Z14" i="43"/>
  <c r="AU12" i="43"/>
  <c r="AT12" i="43"/>
  <c r="AS12" i="43"/>
  <c r="AR12" i="43"/>
  <c r="AQ12" i="43"/>
  <c r="AP12" i="43"/>
  <c r="AO12" i="43"/>
  <c r="AN12" i="43"/>
  <c r="AM12" i="43"/>
  <c r="AL12" i="43"/>
  <c r="AK12" i="43"/>
  <c r="AJ12" i="43"/>
  <c r="AH12" i="43"/>
  <c r="AG12" i="43"/>
  <c r="AF12" i="43"/>
  <c r="AE12" i="43"/>
  <c r="AD12" i="43"/>
  <c r="AC12" i="43"/>
  <c r="AB12" i="43"/>
  <c r="AA12" i="43"/>
  <c r="Z12" i="43"/>
  <c r="Y12" i="43"/>
  <c r="X12" i="43"/>
  <c r="W12" i="43"/>
  <c r="AU10" i="43"/>
  <c r="AT10" i="43"/>
  <c r="AS10" i="43"/>
  <c r="AR10" i="43"/>
  <c r="AQ10" i="43"/>
  <c r="AP10" i="43"/>
  <c r="AO10" i="43"/>
  <c r="AN10" i="43"/>
  <c r="AM10" i="43"/>
  <c r="AL10" i="43"/>
  <c r="AK10" i="43"/>
  <c r="AJ10" i="43"/>
  <c r="AH10" i="43"/>
  <c r="AG10" i="43"/>
  <c r="AF10" i="43"/>
  <c r="AE10" i="43"/>
  <c r="AD10" i="43"/>
  <c r="AC10" i="43"/>
  <c r="AB10" i="43"/>
  <c r="AA10" i="43"/>
  <c r="Z10" i="43"/>
  <c r="Y10" i="43"/>
  <c r="X10" i="43"/>
  <c r="W10" i="43"/>
  <c r="AU8" i="43"/>
  <c r="AT8" i="43"/>
  <c r="AS8" i="43"/>
  <c r="AS38" i="43" s="1"/>
  <c r="AR8" i="43"/>
  <c r="AQ8" i="43"/>
  <c r="AP8" i="43"/>
  <c r="AO8" i="43"/>
  <c r="AN8" i="43"/>
  <c r="AM8" i="43"/>
  <c r="AL8" i="43"/>
  <c r="AK8" i="43"/>
  <c r="AJ8" i="43"/>
  <c r="AJ38" i="43" s="1"/>
  <c r="AH8" i="43"/>
  <c r="AG8" i="43"/>
  <c r="AF8" i="43"/>
  <c r="AE8" i="43"/>
  <c r="AD8" i="43"/>
  <c r="AC8" i="43"/>
  <c r="AB8" i="43"/>
  <c r="AB38" i="43" s="1"/>
  <c r="AA8" i="43"/>
  <c r="Z8" i="43"/>
  <c r="Y8" i="43"/>
  <c r="X8" i="43"/>
  <c r="W8" i="43"/>
  <c r="U8" i="43"/>
  <c r="T8" i="43"/>
  <c r="T38" i="43" s="1"/>
  <c r="Y26" i="35" s="1"/>
  <c r="S8" i="43"/>
  <c r="R8" i="43"/>
  <c r="Q8" i="43"/>
  <c r="P8" i="43"/>
  <c r="O8" i="43"/>
  <c r="N8" i="43"/>
  <c r="M38" i="43"/>
  <c r="AJ5" i="43"/>
  <c r="W5" i="43"/>
  <c r="J5" i="43"/>
  <c r="C3" i="43"/>
  <c r="Q18" i="43"/>
  <c r="U18" i="43"/>
  <c r="Z18" i="43"/>
  <c r="AD18" i="43"/>
  <c r="AH18" i="43"/>
  <c r="AM18" i="43"/>
  <c r="AQ18" i="43"/>
  <c r="AU18" i="43"/>
  <c r="J18" i="43"/>
  <c r="N18" i="43"/>
  <c r="R18" i="43"/>
  <c r="W18" i="43"/>
  <c r="AA18" i="43"/>
  <c r="AE18" i="43"/>
  <c r="AJ18" i="43"/>
  <c r="AN18" i="43"/>
  <c r="AR18" i="43"/>
  <c r="O18" i="43"/>
  <c r="S18" i="43"/>
  <c r="X18" i="43"/>
  <c r="AB18" i="43"/>
  <c r="AF18" i="43"/>
  <c r="AK18" i="43"/>
  <c r="AO18" i="43"/>
  <c r="AR14" i="43"/>
  <c r="AN14" i="43"/>
  <c r="AN43" i="43" s="1"/>
  <c r="AJ14" i="43"/>
  <c r="AE14" i="43"/>
  <c r="AE43" i="43" s="1"/>
  <c r="AA14" i="43"/>
  <c r="W14" i="43"/>
  <c r="W43" i="43" s="1"/>
  <c r="X14" i="43"/>
  <c r="X43" i="43" s="1"/>
  <c r="AC14" i="43"/>
  <c r="AH14" i="43"/>
  <c r="AO14" i="43"/>
  <c r="AO43" i="43" s="1"/>
  <c r="AT14" i="43"/>
  <c r="AT43" i="43" s="1"/>
  <c r="Y14" i="43"/>
  <c r="Y43" i="43" s="1"/>
  <c r="AD14" i="43"/>
  <c r="AD43" i="43" s="1"/>
  <c r="AK14" i="43"/>
  <c r="AK43" i="43" s="1"/>
  <c r="AP14" i="43"/>
  <c r="AP43" i="43" s="1"/>
  <c r="AU14" i="43"/>
  <c r="P20" i="43"/>
  <c r="T20" i="43"/>
  <c r="Y20" i="43"/>
  <c r="AC20" i="43"/>
  <c r="AG20" i="43"/>
  <c r="AL20" i="43"/>
  <c r="AP20" i="43"/>
  <c r="AT20" i="43"/>
  <c r="Q20" i="43"/>
  <c r="U20" i="43"/>
  <c r="Z20" i="43"/>
  <c r="AD20" i="43"/>
  <c r="AH20" i="43"/>
  <c r="AM20" i="43"/>
  <c r="AQ20" i="43"/>
  <c r="AU20" i="43"/>
  <c r="J20" i="43"/>
  <c r="N20" i="43"/>
  <c r="R20" i="43"/>
  <c r="W20" i="43"/>
  <c r="AA20" i="43"/>
  <c r="AE20" i="43"/>
  <c r="AJ20" i="43"/>
  <c r="AN20" i="43"/>
  <c r="AR20" i="43"/>
  <c r="O20" i="43"/>
  <c r="S20" i="43"/>
  <c r="X20" i="43"/>
  <c r="AB20" i="43"/>
  <c r="AF20" i="43"/>
  <c r="AK20" i="43"/>
  <c r="AO20" i="43"/>
  <c r="P32" i="35"/>
  <c r="AB20" i="35"/>
  <c r="V20" i="35"/>
  <c r="P20" i="35"/>
  <c r="J8" i="35"/>
  <c r="O55" i="41"/>
  <c r="M55" i="41"/>
  <c r="K55" i="41"/>
  <c r="I55" i="41"/>
  <c r="G55" i="41"/>
  <c r="O44" i="41"/>
  <c r="M44" i="41"/>
  <c r="K44" i="41"/>
  <c r="I44" i="41"/>
  <c r="G44" i="41"/>
  <c r="K35" i="41"/>
  <c r="M35" i="41"/>
  <c r="O25" i="41"/>
  <c r="M25" i="41"/>
  <c r="K25" i="41"/>
  <c r="I25" i="41"/>
  <c r="G25" i="41"/>
  <c r="O13" i="41"/>
  <c r="M13" i="41"/>
  <c r="K13" i="41"/>
  <c r="I13" i="41"/>
  <c r="G13" i="41"/>
  <c r="O17" i="41"/>
  <c r="O29" i="41" s="1"/>
  <c r="O39" i="41" s="1"/>
  <c r="O48" i="41" s="1"/>
  <c r="M17" i="41"/>
  <c r="M29" i="41" s="1"/>
  <c r="M39" i="41" s="1"/>
  <c r="M48" i="41" s="1"/>
  <c r="K17" i="41"/>
  <c r="K29" i="41" s="1"/>
  <c r="K39" i="41" s="1"/>
  <c r="K48" i="41" s="1"/>
  <c r="I17" i="41"/>
  <c r="I29" i="41" s="1"/>
  <c r="I39" i="41" s="1"/>
  <c r="I48" i="41" s="1"/>
  <c r="G17" i="41"/>
  <c r="G29" i="41" s="1"/>
  <c r="G39" i="41" s="1"/>
  <c r="G48" i="41" s="1"/>
  <c r="I35" i="41"/>
  <c r="V59" i="35"/>
  <c r="P59" i="35"/>
  <c r="N3" i="35"/>
  <c r="Y36" i="35" s="1"/>
  <c r="D26" i="7"/>
  <c r="S35" i="30"/>
  <c r="AU21" i="30"/>
  <c r="AU22" i="30"/>
  <c r="AU23" i="30"/>
  <c r="AU28" i="30"/>
  <c r="D53" i="30"/>
  <c r="D61" i="30"/>
  <c r="AG28" i="30"/>
  <c r="AG29" i="30"/>
  <c r="AG30" i="30"/>
  <c r="S29" i="30"/>
  <c r="S30" i="30"/>
  <c r="S28" i="30"/>
  <c r="D45" i="30"/>
  <c r="S23" i="30"/>
  <c r="S22" i="30"/>
  <c r="AG22" i="30"/>
  <c r="AG23" i="30"/>
  <c r="D39" i="30"/>
  <c r="V21" i="35"/>
  <c r="V32" i="35"/>
  <c r="P21" i="35"/>
  <c r="D31" i="30"/>
  <c r="AR17" i="30"/>
  <c r="AR24" i="30"/>
  <c r="AR31" i="30"/>
  <c r="AR39" i="30"/>
  <c r="AR45" i="30"/>
  <c r="AR61" i="30"/>
  <c r="AS17" i="30"/>
  <c r="AS24" i="30"/>
  <c r="AS31" i="30"/>
  <c r="AS39" i="30"/>
  <c r="AS45" i="30"/>
  <c r="AS61" i="30"/>
  <c r="AT17" i="30"/>
  <c r="AT24" i="30"/>
  <c r="AT31" i="30"/>
  <c r="AT39" i="30"/>
  <c r="AT45" i="30"/>
  <c r="AT61" i="30"/>
  <c r="AO17" i="30"/>
  <c r="AO65" i="30" s="1"/>
  <c r="AO24" i="30"/>
  <c r="AO31" i="30"/>
  <c r="AO39" i="30"/>
  <c r="AO45" i="30"/>
  <c r="AU53" i="30"/>
  <c r="AO61" i="30"/>
  <c r="AP17" i="30"/>
  <c r="AP24" i="30"/>
  <c r="AP31" i="30"/>
  <c r="AP39" i="30"/>
  <c r="AP45" i="30"/>
  <c r="AP61" i="30"/>
  <c r="AQ17" i="30"/>
  <c r="AQ24" i="30"/>
  <c r="AQ31" i="30"/>
  <c r="AQ39" i="30"/>
  <c r="AQ45" i="30"/>
  <c r="AQ61" i="30"/>
  <c r="AL17" i="30"/>
  <c r="AL24" i="30"/>
  <c r="AL31" i="30"/>
  <c r="AL39" i="30"/>
  <c r="AL45" i="30"/>
  <c r="AL61" i="30"/>
  <c r="AM17" i="30"/>
  <c r="AM24" i="30"/>
  <c r="AM31" i="30"/>
  <c r="AM39" i="30"/>
  <c r="AM45" i="30"/>
  <c r="AM61" i="30"/>
  <c r="AM74" i="30"/>
  <c r="AN17" i="30"/>
  <c r="AN24" i="30"/>
  <c r="AN31" i="30"/>
  <c r="AN39" i="30"/>
  <c r="AN45" i="30"/>
  <c r="AN61" i="30"/>
  <c r="AI17" i="30"/>
  <c r="AI24" i="30"/>
  <c r="AI31" i="30"/>
  <c r="AI39" i="30"/>
  <c r="AI45" i="30"/>
  <c r="AI61" i="30"/>
  <c r="AU61" i="30" s="1"/>
  <c r="AJ17" i="30"/>
  <c r="AJ24" i="30"/>
  <c r="AJ31" i="30"/>
  <c r="AJ39" i="30"/>
  <c r="AJ45" i="30"/>
  <c r="AJ61" i="30"/>
  <c r="AK17" i="30"/>
  <c r="AK24" i="30"/>
  <c r="AK31" i="30"/>
  <c r="AK39" i="30"/>
  <c r="AK45" i="30"/>
  <c r="AK61" i="30"/>
  <c r="H17" i="30"/>
  <c r="G17" i="30"/>
  <c r="I17" i="30"/>
  <c r="J17" i="30"/>
  <c r="K17" i="30"/>
  <c r="L17" i="30"/>
  <c r="M17" i="30"/>
  <c r="N17" i="30"/>
  <c r="O17" i="30"/>
  <c r="P17" i="30"/>
  <c r="Q17" i="30"/>
  <c r="R17" i="30"/>
  <c r="H24" i="30"/>
  <c r="H31" i="30"/>
  <c r="H39" i="30"/>
  <c r="H45" i="30"/>
  <c r="H61" i="30"/>
  <c r="I24" i="30"/>
  <c r="I31" i="30"/>
  <c r="I39" i="30"/>
  <c r="I45" i="30"/>
  <c r="S53" i="30"/>
  <c r="I61" i="30"/>
  <c r="J24" i="30"/>
  <c r="J31" i="30"/>
  <c r="J39" i="30"/>
  <c r="J45" i="30"/>
  <c r="J61" i="30"/>
  <c r="K24" i="30"/>
  <c r="K31" i="30"/>
  <c r="K39" i="30"/>
  <c r="K45" i="30"/>
  <c r="K61" i="30"/>
  <c r="L24" i="30"/>
  <c r="L31" i="30"/>
  <c r="L39" i="30"/>
  <c r="L45" i="30"/>
  <c r="L61" i="30"/>
  <c r="M24" i="30"/>
  <c r="M31" i="30"/>
  <c r="M39" i="30"/>
  <c r="M45" i="30"/>
  <c r="M61" i="30"/>
  <c r="N24" i="30"/>
  <c r="N31" i="30"/>
  <c r="N39" i="30"/>
  <c r="N45" i="30"/>
  <c r="N61" i="30"/>
  <c r="O24" i="30"/>
  <c r="O31" i="30"/>
  <c r="O39" i="30"/>
  <c r="O45" i="30"/>
  <c r="O61" i="30"/>
  <c r="P24" i="30"/>
  <c r="P31" i="30"/>
  <c r="P39" i="30"/>
  <c r="P45" i="30"/>
  <c r="P61" i="30"/>
  <c r="Q24" i="30"/>
  <c r="Q31" i="30"/>
  <c r="Q39" i="30"/>
  <c r="Q45" i="30"/>
  <c r="Q61" i="30"/>
  <c r="R24" i="30"/>
  <c r="R31" i="30"/>
  <c r="R39" i="30"/>
  <c r="R45" i="30"/>
  <c r="R61" i="30"/>
  <c r="G24" i="30"/>
  <c r="G31" i="30"/>
  <c r="G39" i="30"/>
  <c r="G45" i="30"/>
  <c r="G61" i="30"/>
  <c r="H12" i="3"/>
  <c r="I12" i="3" s="1"/>
  <c r="J12" i="3" s="1"/>
  <c r="K12" i="3" s="1"/>
  <c r="L12" i="3" s="1"/>
  <c r="M12" i="3" s="1"/>
  <c r="N12" i="3" s="1"/>
  <c r="O12" i="3" s="1"/>
  <c r="P12" i="3" s="1"/>
  <c r="Q12" i="3" s="1"/>
  <c r="R12" i="3" s="1"/>
  <c r="G26" i="3"/>
  <c r="H23" i="3" s="1"/>
  <c r="H26" i="3"/>
  <c r="I23" i="3" s="1"/>
  <c r="I26" i="3" s="1"/>
  <c r="J23" i="3" s="1"/>
  <c r="J26" i="3" s="1"/>
  <c r="K23" i="3" s="1"/>
  <c r="P28" i="3"/>
  <c r="Q28" i="3" s="1"/>
  <c r="R28" i="3" s="1"/>
  <c r="T28" i="3" s="1"/>
  <c r="U28" i="3" s="1"/>
  <c r="V28" i="3" s="1"/>
  <c r="W28" i="3" s="1"/>
  <c r="Y28" i="3" s="1"/>
  <c r="Z28" i="3" s="1"/>
  <c r="AA28" i="3" s="1"/>
  <c r="AB28" i="3" s="1"/>
  <c r="G34" i="3"/>
  <c r="G35" i="3"/>
  <c r="G37" i="3" s="1"/>
  <c r="H31" i="3" s="1"/>
  <c r="H36" i="3"/>
  <c r="I36" i="3" s="1"/>
  <c r="J36" i="3" s="1"/>
  <c r="K36" i="3" s="1"/>
  <c r="L36" i="3" s="1"/>
  <c r="M36" i="3" s="1"/>
  <c r="N36" i="3" s="1"/>
  <c r="O36" i="3" s="1"/>
  <c r="P36" i="3" s="1"/>
  <c r="Q36" i="3" s="1"/>
  <c r="R36" i="3" s="1"/>
  <c r="G15" i="11"/>
  <c r="G46" i="11"/>
  <c r="G52" i="11"/>
  <c r="G58" i="11"/>
  <c r="H15" i="11"/>
  <c r="H28" i="27" s="1"/>
  <c r="H46" i="11"/>
  <c r="H52" i="11"/>
  <c r="H58" i="11"/>
  <c r="I15" i="11"/>
  <c r="K3" i="27"/>
  <c r="I46" i="11"/>
  <c r="I52" i="11"/>
  <c r="I58" i="11"/>
  <c r="J15" i="11"/>
  <c r="J46" i="11"/>
  <c r="J52" i="11"/>
  <c r="J58" i="11"/>
  <c r="K15" i="11"/>
  <c r="K46" i="11"/>
  <c r="K52" i="11"/>
  <c r="K58" i="11"/>
  <c r="L15" i="11"/>
  <c r="L28" i="27" s="1"/>
  <c r="L46" i="11"/>
  <c r="L52" i="11"/>
  <c r="L58" i="11"/>
  <c r="M15" i="11"/>
  <c r="W28" i="34" s="1"/>
  <c r="M46" i="11"/>
  <c r="S39" i="35" s="1"/>
  <c r="M52" i="11"/>
  <c r="M58" i="11"/>
  <c r="N15" i="11"/>
  <c r="N46" i="11"/>
  <c r="N52" i="11"/>
  <c r="N58" i="11"/>
  <c r="O15" i="11"/>
  <c r="O46" i="11"/>
  <c r="O52" i="11"/>
  <c r="O58" i="11"/>
  <c r="P15" i="11"/>
  <c r="P46" i="11"/>
  <c r="P52" i="11"/>
  <c r="P58" i="11"/>
  <c r="Q15" i="11"/>
  <c r="Q28" i="27" s="1"/>
  <c r="Q46" i="11"/>
  <c r="Q52" i="11"/>
  <c r="Q34" i="27"/>
  <c r="Q58" i="11"/>
  <c r="F15" i="11"/>
  <c r="G28" i="34" s="1"/>
  <c r="F46" i="11"/>
  <c r="F52" i="11"/>
  <c r="F58" i="11"/>
  <c r="P74" i="30"/>
  <c r="F5" i="11"/>
  <c r="AD17" i="30"/>
  <c r="AD24" i="30"/>
  <c r="AD31" i="30"/>
  <c r="AD39" i="30"/>
  <c r="AD45" i="30"/>
  <c r="AD61" i="30"/>
  <c r="AE17" i="30"/>
  <c r="AE24" i="30"/>
  <c r="AE31" i="30"/>
  <c r="AE39" i="30"/>
  <c r="AE45" i="30"/>
  <c r="AE61" i="30"/>
  <c r="AF17" i="30"/>
  <c r="AF24" i="30"/>
  <c r="AF31" i="30"/>
  <c r="AF39" i="30"/>
  <c r="AF45" i="30"/>
  <c r="AF61" i="30"/>
  <c r="AA17" i="30"/>
  <c r="AA24" i="30"/>
  <c r="AA31" i="30"/>
  <c r="AA39" i="30"/>
  <c r="AA45" i="30"/>
  <c r="AA61" i="30"/>
  <c r="AB17" i="30"/>
  <c r="AB24" i="30"/>
  <c r="AB31" i="30"/>
  <c r="AB39" i="30"/>
  <c r="AB45" i="30"/>
  <c r="AB61" i="30"/>
  <c r="AC17" i="30"/>
  <c r="AC24" i="30"/>
  <c r="AC31" i="30"/>
  <c r="AC39" i="30"/>
  <c r="AC45" i="30"/>
  <c r="AC61" i="30"/>
  <c r="X17" i="30"/>
  <c r="X24" i="30"/>
  <c r="X31" i="30"/>
  <c r="X39" i="30"/>
  <c r="X45" i="30"/>
  <c r="X61" i="30"/>
  <c r="Y17" i="30"/>
  <c r="Y24" i="30"/>
  <c r="Y31" i="30"/>
  <c r="Y39" i="30"/>
  <c r="Y45" i="30"/>
  <c r="Y61" i="30"/>
  <c r="Z17" i="30"/>
  <c r="Z24" i="30"/>
  <c r="Z31" i="30"/>
  <c r="Z39" i="30"/>
  <c r="Z45" i="30"/>
  <c r="Z61" i="30"/>
  <c r="U17" i="30"/>
  <c r="U24" i="30"/>
  <c r="U31" i="30"/>
  <c r="U39" i="30"/>
  <c r="U45" i="30"/>
  <c r="U61" i="30"/>
  <c r="V17" i="30"/>
  <c r="V24" i="30"/>
  <c r="V31" i="30"/>
  <c r="V39" i="30"/>
  <c r="V45" i="30"/>
  <c r="V61" i="30"/>
  <c r="AG61" i="30" s="1"/>
  <c r="W17" i="30"/>
  <c r="W24" i="30"/>
  <c r="W31" i="30"/>
  <c r="W39" i="30"/>
  <c r="W45" i="30"/>
  <c r="W61" i="30"/>
  <c r="AA30" i="35"/>
  <c r="AC30" i="35" s="1"/>
  <c r="AA31" i="35"/>
  <c r="AC31" i="35" s="1"/>
  <c r="AA44" i="35"/>
  <c r="AC44" i="35" s="1"/>
  <c r="AA46" i="35"/>
  <c r="AC46" i="35" s="1"/>
  <c r="AA50" i="35"/>
  <c r="AC50" i="35" s="1"/>
  <c r="X59" i="35"/>
  <c r="Y59" i="35"/>
  <c r="Z59" i="35"/>
  <c r="U30" i="35"/>
  <c r="W30" i="35" s="1"/>
  <c r="U31" i="35"/>
  <c r="W31" i="35" s="1"/>
  <c r="U44" i="35"/>
  <c r="W44" i="35" s="1"/>
  <c r="U46" i="35"/>
  <c r="W46" i="35" s="1"/>
  <c r="U50" i="35"/>
  <c r="W50" i="35" s="1"/>
  <c r="R59" i="35"/>
  <c r="S59" i="35"/>
  <c r="T59" i="35"/>
  <c r="O30" i="35"/>
  <c r="Q30" i="35" s="1"/>
  <c r="O31" i="35"/>
  <c r="Q31" i="35" s="1"/>
  <c r="O44" i="35"/>
  <c r="Q44" i="35" s="1"/>
  <c r="O46" i="35"/>
  <c r="Q46" i="35" s="1"/>
  <c r="O50" i="35"/>
  <c r="Q50" i="35" s="1"/>
  <c r="I15" i="35"/>
  <c r="K15" i="35" s="1"/>
  <c r="I16" i="35"/>
  <c r="K16" i="35" s="1"/>
  <c r="I17" i="35"/>
  <c r="K17" i="35" s="1"/>
  <c r="I30" i="35"/>
  <c r="I31" i="35"/>
  <c r="K31" i="35" s="1"/>
  <c r="I44" i="35"/>
  <c r="K44" i="35" s="1"/>
  <c r="I46" i="35"/>
  <c r="K46" i="35" s="1"/>
  <c r="I50" i="35"/>
  <c r="K50" i="35" s="1"/>
  <c r="F59" i="35"/>
  <c r="G59" i="35"/>
  <c r="H59" i="35"/>
  <c r="AA58" i="35"/>
  <c r="AC58" i="35" s="1"/>
  <c r="U58" i="35"/>
  <c r="W58" i="35" s="1"/>
  <c r="O58" i="35"/>
  <c r="Q58" i="35" s="1"/>
  <c r="I58" i="35"/>
  <c r="K58" i="35" s="1"/>
  <c r="AC57" i="35"/>
  <c r="U57" i="35"/>
  <c r="W57" i="35" s="1"/>
  <c r="Q57" i="35"/>
  <c r="I57" i="35"/>
  <c r="AA52" i="35"/>
  <c r="AC52" i="35" s="1"/>
  <c r="U52" i="35"/>
  <c r="W52" i="35" s="1"/>
  <c r="O52" i="35"/>
  <c r="Q52" i="35" s="1"/>
  <c r="I52" i="35"/>
  <c r="AA49" i="35"/>
  <c r="AC49" i="35" s="1"/>
  <c r="U49" i="35"/>
  <c r="W49" i="35" s="1"/>
  <c r="O49" i="35"/>
  <c r="Q49" i="35" s="1"/>
  <c r="I49" i="35"/>
  <c r="AA47" i="35"/>
  <c r="U47" i="35"/>
  <c r="W47" i="35" s="1"/>
  <c r="O47" i="35"/>
  <c r="Q47" i="35" s="1"/>
  <c r="I47" i="35"/>
  <c r="AA45" i="35"/>
  <c r="AC45" i="35" s="1"/>
  <c r="U45" i="35"/>
  <c r="O45" i="35"/>
  <c r="I45" i="35"/>
  <c r="K45" i="35" s="1"/>
  <c r="H74" i="30"/>
  <c r="J74" i="30"/>
  <c r="K74" i="30"/>
  <c r="N74" i="30"/>
  <c r="O74" i="30"/>
  <c r="Q74" i="30"/>
  <c r="H39" i="3"/>
  <c r="G27" i="4" s="1"/>
  <c r="I39" i="3"/>
  <c r="H27" i="4" s="1"/>
  <c r="J39" i="3"/>
  <c r="I27" i="4" s="1"/>
  <c r="L39" i="3"/>
  <c r="K27" i="4" s="1"/>
  <c r="M39" i="3"/>
  <c r="L27" i="4" s="1"/>
  <c r="N39" i="3"/>
  <c r="M27" i="4" s="1"/>
  <c r="O39" i="3"/>
  <c r="N27" i="4" s="1"/>
  <c r="P39" i="3"/>
  <c r="O27" i="4" s="1"/>
  <c r="Q39" i="3"/>
  <c r="P27" i="4" s="1"/>
  <c r="G39" i="3"/>
  <c r="F27" i="4" s="1"/>
  <c r="G74" i="30"/>
  <c r="G10" i="3"/>
  <c r="G18" i="3"/>
  <c r="H15" i="3" s="1"/>
  <c r="H18" i="3" s="1"/>
  <c r="I15" i="3" s="1"/>
  <c r="G27" i="3"/>
  <c r="G29" i="3" s="1"/>
  <c r="AR74" i="30"/>
  <c r="AQ74" i="30"/>
  <c r="AO74" i="30"/>
  <c r="AN74" i="30"/>
  <c r="AL74" i="30"/>
  <c r="AK74" i="30"/>
  <c r="AC74" i="30"/>
  <c r="Z74" i="30"/>
  <c r="Y74" i="30"/>
  <c r="X74" i="30"/>
  <c r="U74" i="30"/>
  <c r="S34" i="30"/>
  <c r="AG34" i="30"/>
  <c r="AU34" i="30"/>
  <c r="AG35" i="30"/>
  <c r="AU35" i="30"/>
  <c r="S36" i="30"/>
  <c r="AG36" i="30"/>
  <c r="AU36" i="30"/>
  <c r="S37" i="30"/>
  <c r="AG37" i="30"/>
  <c r="AU37" i="30"/>
  <c r="S38" i="30"/>
  <c r="AG38" i="30"/>
  <c r="AU38" i="30"/>
  <c r="S42" i="30"/>
  <c r="AG42" i="30"/>
  <c r="AU42" i="30"/>
  <c r="S43" i="30"/>
  <c r="AG43" i="30"/>
  <c r="AU43" i="30"/>
  <c r="S44" i="30"/>
  <c r="AG44" i="30"/>
  <c r="AU44" i="30"/>
  <c r="T39" i="3"/>
  <c r="U27" i="4" s="1"/>
  <c r="AB23" i="34"/>
  <c r="R39" i="3"/>
  <c r="Q27" i="4" s="1"/>
  <c r="U39" i="3"/>
  <c r="X27" i="4" s="1"/>
  <c r="V39" i="3"/>
  <c r="AA27" i="4" s="1"/>
  <c r="W39" i="3"/>
  <c r="AD27" i="4" s="1"/>
  <c r="AF74" i="30"/>
  <c r="Y39" i="3"/>
  <c r="AH27" i="4" s="1"/>
  <c r="Z39" i="3"/>
  <c r="AK27" i="4" s="1"/>
  <c r="AA39" i="3"/>
  <c r="AN27" i="4" s="1"/>
  <c r="AB39" i="3"/>
  <c r="AQ27" i="4" s="1"/>
  <c r="AT74" i="30"/>
  <c r="F44" i="4"/>
  <c r="D3" i="35"/>
  <c r="D3" i="5"/>
  <c r="J21" i="35"/>
  <c r="J32" i="35"/>
  <c r="H29" i="35"/>
  <c r="L29" i="35"/>
  <c r="Y29" i="35"/>
  <c r="AA15" i="35"/>
  <c r="AC15" i="35" s="1"/>
  <c r="U15" i="35"/>
  <c r="W15" i="35" s="1"/>
  <c r="O15" i="35"/>
  <c r="Q15" i="35" s="1"/>
  <c r="AA16" i="35"/>
  <c r="U16" i="35"/>
  <c r="O16" i="35"/>
  <c r="AA17" i="35"/>
  <c r="U17" i="35"/>
  <c r="W17" i="35" s="1"/>
  <c r="O17" i="35"/>
  <c r="R29" i="35"/>
  <c r="G29" i="35"/>
  <c r="K3" i="5"/>
  <c r="AI7" i="30"/>
  <c r="AU60" i="30"/>
  <c r="AU59" i="30"/>
  <c r="AU58" i="30"/>
  <c r="AU57" i="30"/>
  <c r="AU56" i="30"/>
  <c r="AU52" i="30"/>
  <c r="AU51" i="30"/>
  <c r="AU50" i="30"/>
  <c r="AU49" i="30"/>
  <c r="AU27" i="30"/>
  <c r="AU20" i="30"/>
  <c r="AU16" i="30"/>
  <c r="AU15" i="30"/>
  <c r="AU14" i="30"/>
  <c r="AU13" i="30"/>
  <c r="AU12" i="30"/>
  <c r="AU11" i="30"/>
  <c r="AU10" i="30"/>
  <c r="U7" i="30"/>
  <c r="AG60" i="30"/>
  <c r="AG59" i="30"/>
  <c r="AG58" i="30"/>
  <c r="AG57" i="30"/>
  <c r="AG56" i="30"/>
  <c r="AG52" i="30"/>
  <c r="AG51" i="30"/>
  <c r="AG50" i="30"/>
  <c r="AG49" i="30"/>
  <c r="AG27" i="30"/>
  <c r="AG20" i="30"/>
  <c r="AG16" i="30"/>
  <c r="AG15" i="30"/>
  <c r="AG14" i="30"/>
  <c r="AG13" i="30"/>
  <c r="AG12" i="30"/>
  <c r="AG11" i="30"/>
  <c r="AG10" i="30"/>
  <c r="AB21" i="35"/>
  <c r="AB32" i="35"/>
  <c r="AE31" i="35"/>
  <c r="C3" i="35"/>
  <c r="X29" i="35"/>
  <c r="Z29" i="35"/>
  <c r="F29" i="35"/>
  <c r="S29" i="35"/>
  <c r="T29" i="35"/>
  <c r="M29" i="35"/>
  <c r="N29" i="35"/>
  <c r="T34" i="34"/>
  <c r="AC34" i="34"/>
  <c r="O3" i="34"/>
  <c r="G29" i="34"/>
  <c r="J29" i="34" s="1"/>
  <c r="F5" i="35"/>
  <c r="Z11" i="27"/>
  <c r="AA11" i="27"/>
  <c r="AB11" i="27"/>
  <c r="AC11" i="27"/>
  <c r="T11" i="27"/>
  <c r="U11" i="27"/>
  <c r="V11" i="27"/>
  <c r="W11" i="27"/>
  <c r="Q11" i="27"/>
  <c r="F11" i="27"/>
  <c r="G11" i="27"/>
  <c r="H11" i="27"/>
  <c r="I11" i="27"/>
  <c r="J11" i="27"/>
  <c r="K11" i="27"/>
  <c r="L11" i="27"/>
  <c r="M11" i="27"/>
  <c r="N11" i="27"/>
  <c r="O11" i="27"/>
  <c r="P11" i="27"/>
  <c r="F30" i="27"/>
  <c r="G34" i="27"/>
  <c r="H30" i="27"/>
  <c r="J30" i="27"/>
  <c r="K29" i="27"/>
  <c r="L30" i="27"/>
  <c r="M34" i="27"/>
  <c r="N30" i="27"/>
  <c r="P30" i="27"/>
  <c r="Q30" i="27"/>
  <c r="F25" i="27"/>
  <c r="G25" i="27"/>
  <c r="H25" i="27"/>
  <c r="I25" i="27"/>
  <c r="J25" i="27"/>
  <c r="K25" i="27"/>
  <c r="L25" i="27"/>
  <c r="M25" i="27"/>
  <c r="N25" i="27"/>
  <c r="O25" i="27"/>
  <c r="P25" i="27"/>
  <c r="Q25" i="27"/>
  <c r="T28" i="27"/>
  <c r="T27" i="27" s="1"/>
  <c r="U31" i="27"/>
  <c r="U28" i="27"/>
  <c r="U27" i="27" s="1"/>
  <c r="U30" i="27"/>
  <c r="U33" i="27"/>
  <c r="U34" i="27"/>
  <c r="V28" i="27"/>
  <c r="V27" i="27" s="1"/>
  <c r="V29" i="27"/>
  <c r="V30" i="27"/>
  <c r="V33" i="27"/>
  <c r="V34" i="27"/>
  <c r="W31" i="27"/>
  <c r="W28" i="27"/>
  <c r="W27" i="27" s="1"/>
  <c r="W30" i="27"/>
  <c r="W33" i="27"/>
  <c r="W34" i="27"/>
  <c r="T20" i="27"/>
  <c r="U20" i="27"/>
  <c r="U19" i="27"/>
  <c r="V20" i="27"/>
  <c r="V22" i="27"/>
  <c r="W20" i="27"/>
  <c r="W22" i="27"/>
  <c r="Z31" i="27"/>
  <c r="AD31" i="27" s="1"/>
  <c r="Z28" i="27"/>
  <c r="AD28" i="27" s="1"/>
  <c r="Z29" i="27"/>
  <c r="AD29" i="27" s="1"/>
  <c r="Z33" i="27"/>
  <c r="AD33" i="27" s="1"/>
  <c r="Z34" i="27"/>
  <c r="AD34" i="27" s="1"/>
  <c r="AA31" i="27"/>
  <c r="AA29" i="27"/>
  <c r="AA30" i="27"/>
  <c r="AA33" i="27"/>
  <c r="AB31" i="27"/>
  <c r="AB28" i="27"/>
  <c r="AB27" i="27" s="1"/>
  <c r="AB29" i="27"/>
  <c r="AB33" i="27"/>
  <c r="AB34" i="27"/>
  <c r="AC31" i="27"/>
  <c r="AC29" i="27"/>
  <c r="AC30" i="27"/>
  <c r="AC33" i="27"/>
  <c r="Z20" i="27"/>
  <c r="AD20" i="27"/>
  <c r="AA20" i="27"/>
  <c r="AB20" i="27"/>
  <c r="AB19" i="27"/>
  <c r="AC20" i="27"/>
  <c r="AC19" i="27"/>
  <c r="Z25" i="27"/>
  <c r="AD25" i="27" s="1"/>
  <c r="AA25" i="27"/>
  <c r="AB25" i="27"/>
  <c r="AC25" i="27"/>
  <c r="AC41" i="27"/>
  <c r="AC42" i="27"/>
  <c r="T25" i="27"/>
  <c r="X25" i="27" s="1"/>
  <c r="U25" i="27"/>
  <c r="V25" i="27"/>
  <c r="W25" i="27"/>
  <c r="T33" i="27"/>
  <c r="X33" i="27" s="1"/>
  <c r="J23" i="34"/>
  <c r="T23" i="34"/>
  <c r="T7" i="34"/>
  <c r="T9" i="34"/>
  <c r="AD12" i="34"/>
  <c r="T13" i="34"/>
  <c r="AD13" i="34"/>
  <c r="AD14" i="34"/>
  <c r="T16" i="34"/>
  <c r="T17" i="34"/>
  <c r="AD17" i="34"/>
  <c r="AB11" i="34"/>
  <c r="AB25" i="34"/>
  <c r="AB47" i="34"/>
  <c r="T20" i="34"/>
  <c r="T21" i="34"/>
  <c r="Y21" i="34"/>
  <c r="AC21" i="34"/>
  <c r="W11" i="34"/>
  <c r="W25" i="34"/>
  <c r="T22" i="34"/>
  <c r="T25" i="34"/>
  <c r="V25" i="34"/>
  <c r="Y25" i="34" s="1"/>
  <c r="X25" i="34"/>
  <c r="Z25" i="34"/>
  <c r="AA25" i="34"/>
  <c r="T28" i="34"/>
  <c r="T29" i="34"/>
  <c r="T30" i="34"/>
  <c r="T31" i="34"/>
  <c r="T32" i="34"/>
  <c r="T33" i="34"/>
  <c r="T37" i="34"/>
  <c r="Y37" i="34"/>
  <c r="AC37" i="34"/>
  <c r="T38" i="34"/>
  <c r="Y38" i="34"/>
  <c r="AC38" i="34"/>
  <c r="T39" i="34"/>
  <c r="Y39" i="34"/>
  <c r="AC39" i="34"/>
  <c r="T40" i="34"/>
  <c r="Y40" i="34"/>
  <c r="AC40" i="34"/>
  <c r="T41" i="34"/>
  <c r="T45" i="34"/>
  <c r="Y45" i="34"/>
  <c r="AC45" i="34"/>
  <c r="T46" i="34"/>
  <c r="Y46" i="34"/>
  <c r="AC46" i="34"/>
  <c r="AD24" i="34"/>
  <c r="T8" i="34"/>
  <c r="AD8" i="34"/>
  <c r="T12" i="34"/>
  <c r="T14" i="34"/>
  <c r="T10" i="34"/>
  <c r="S11" i="34"/>
  <c r="P21" i="34"/>
  <c r="J21" i="34"/>
  <c r="P37" i="34"/>
  <c r="J37" i="34"/>
  <c r="P38" i="34"/>
  <c r="J38" i="34"/>
  <c r="P39" i="34"/>
  <c r="J39" i="34"/>
  <c r="P40" i="34"/>
  <c r="J40" i="34"/>
  <c r="P45" i="34"/>
  <c r="J45" i="34"/>
  <c r="P46" i="34"/>
  <c r="J46" i="34"/>
  <c r="M11" i="34"/>
  <c r="M25" i="34"/>
  <c r="M47" i="34"/>
  <c r="N11" i="34"/>
  <c r="N25" i="34"/>
  <c r="N47" i="34"/>
  <c r="O11" i="34"/>
  <c r="O25" i="34"/>
  <c r="O47" i="34"/>
  <c r="Q11" i="34"/>
  <c r="Q15" i="34"/>
  <c r="Q18" i="34"/>
  <c r="Q19" i="34"/>
  <c r="Q27" i="34"/>
  <c r="Q42" i="34"/>
  <c r="Q47" i="34"/>
  <c r="H11" i="34"/>
  <c r="I11" i="34"/>
  <c r="G11" i="34"/>
  <c r="K11" i="34"/>
  <c r="K15" i="34"/>
  <c r="K18" i="34"/>
  <c r="K19" i="34"/>
  <c r="K27" i="34"/>
  <c r="K42" i="34"/>
  <c r="K47" i="34"/>
  <c r="V11" i="34"/>
  <c r="X11" i="34"/>
  <c r="Z11" i="34"/>
  <c r="AA11" i="34"/>
  <c r="G25" i="34"/>
  <c r="J25" i="34" s="1"/>
  <c r="H25" i="34"/>
  <c r="I25" i="34"/>
  <c r="G47" i="34"/>
  <c r="H47" i="34"/>
  <c r="I47" i="34"/>
  <c r="V47" i="34"/>
  <c r="W47" i="34"/>
  <c r="X47" i="34"/>
  <c r="Z47" i="34"/>
  <c r="AA47" i="34"/>
  <c r="S60" i="30"/>
  <c r="S59" i="30"/>
  <c r="S58" i="30"/>
  <c r="S57" i="30"/>
  <c r="S56" i="30"/>
  <c r="S52" i="30"/>
  <c r="S51" i="30"/>
  <c r="S50" i="30"/>
  <c r="S49" i="30"/>
  <c r="D24" i="30"/>
  <c r="S21" i="30"/>
  <c r="S20" i="30"/>
  <c r="D17" i="30"/>
  <c r="S16" i="30"/>
  <c r="S15" i="30"/>
  <c r="S14" i="30"/>
  <c r="S13" i="30"/>
  <c r="S12" i="30"/>
  <c r="S11" i="30"/>
  <c r="S10" i="30"/>
  <c r="C3" i="34"/>
  <c r="T29" i="27"/>
  <c r="X29" i="27" s="1"/>
  <c r="T30" i="27"/>
  <c r="X30" i="27" s="1"/>
  <c r="T34" i="27"/>
  <c r="X34" i="27" s="1"/>
  <c r="X47" i="27"/>
  <c r="W47" i="27"/>
  <c r="X37" i="27"/>
  <c r="X38" i="27"/>
  <c r="X39" i="27"/>
  <c r="X40" i="27"/>
  <c r="R37" i="27"/>
  <c r="R38" i="27"/>
  <c r="R39" i="27"/>
  <c r="R40" i="27"/>
  <c r="R45" i="27"/>
  <c r="R46" i="27"/>
  <c r="AD37" i="27"/>
  <c r="AD38" i="27"/>
  <c r="AD39" i="27"/>
  <c r="AD40" i="27"/>
  <c r="AD47" i="27"/>
  <c r="AD24" i="27"/>
  <c r="AD23" i="27"/>
  <c r="AD21" i="27"/>
  <c r="X21" i="27"/>
  <c r="X23" i="27"/>
  <c r="X24" i="27"/>
  <c r="R21" i="27"/>
  <c r="R23" i="27"/>
  <c r="R24" i="27"/>
  <c r="AD14" i="27"/>
  <c r="X14" i="27"/>
  <c r="R14" i="27"/>
  <c r="AD13" i="27"/>
  <c r="AD12" i="27"/>
  <c r="AD10" i="27"/>
  <c r="AD8" i="27"/>
  <c r="X8" i="27"/>
  <c r="X10" i="27"/>
  <c r="X12" i="27"/>
  <c r="X13" i="27"/>
  <c r="R13" i="27"/>
  <c r="R12" i="27"/>
  <c r="R8" i="27"/>
  <c r="G7" i="30"/>
  <c r="C3" i="30"/>
  <c r="Y5" i="3"/>
  <c r="T5" i="3"/>
  <c r="G5" i="3"/>
  <c r="Z5" i="27"/>
  <c r="T5" i="27"/>
  <c r="F5" i="27"/>
  <c r="B3" i="4"/>
  <c r="C3" i="5"/>
  <c r="G5" i="5"/>
  <c r="K5" i="5"/>
  <c r="M5" i="5"/>
  <c r="C3" i="27"/>
  <c r="F47" i="27"/>
  <c r="G47" i="27"/>
  <c r="H47" i="27"/>
  <c r="I47" i="27"/>
  <c r="J47" i="27"/>
  <c r="K47" i="27"/>
  <c r="L47" i="27"/>
  <c r="M47" i="27"/>
  <c r="N47" i="27"/>
  <c r="O47" i="27"/>
  <c r="P47" i="27"/>
  <c r="Q47" i="27"/>
  <c r="T47" i="27"/>
  <c r="U47" i="27"/>
  <c r="V47" i="27"/>
  <c r="Z47" i="27"/>
  <c r="AA47" i="27"/>
  <c r="AB47" i="27"/>
  <c r="AC47" i="27"/>
  <c r="C3" i="3"/>
  <c r="T31" i="27"/>
  <c r="X31" i="27" s="1"/>
  <c r="F29" i="27"/>
  <c r="G29" i="27"/>
  <c r="H29" i="27"/>
  <c r="I29" i="27"/>
  <c r="J29" i="27"/>
  <c r="N29" i="27"/>
  <c r="O29" i="27"/>
  <c r="P29" i="27"/>
  <c r="Q29" i="27"/>
  <c r="S27" i="30"/>
  <c r="F34" i="27"/>
  <c r="R65" i="11"/>
  <c r="V34" i="34"/>
  <c r="Y34" i="34" s="1"/>
  <c r="AD34" i="34" s="1"/>
  <c r="W34" i="34"/>
  <c r="O23" i="34"/>
  <c r="X23" i="34"/>
  <c r="I29" i="34"/>
  <c r="F32" i="11"/>
  <c r="G32" i="11"/>
  <c r="I32" i="11"/>
  <c r="I31" i="27" s="1"/>
  <c r="Z29" i="34"/>
  <c r="AC29" i="34" s="1"/>
  <c r="I30" i="34"/>
  <c r="M30" i="34"/>
  <c r="AB30" i="34"/>
  <c r="W29" i="34"/>
  <c r="AB29" i="34"/>
  <c r="H30" i="34"/>
  <c r="Z30" i="34"/>
  <c r="V29" i="34"/>
  <c r="Y29" i="34" s="1"/>
  <c r="AD29" i="34" s="1"/>
  <c r="K34" i="27"/>
  <c r="O29" i="34"/>
  <c r="N29" i="34"/>
  <c r="AA29" i="34"/>
  <c r="O30" i="34"/>
  <c r="W30" i="34"/>
  <c r="X29" i="34"/>
  <c r="M29" i="34"/>
  <c r="P29" i="34" s="1"/>
  <c r="S37" i="34"/>
  <c r="N30" i="34"/>
  <c r="V30" i="34"/>
  <c r="H29" i="34"/>
  <c r="AA30" i="34"/>
  <c r="H32" i="11"/>
  <c r="G30" i="34"/>
  <c r="X30" i="34"/>
  <c r="L34" i="27"/>
  <c r="P47" i="34"/>
  <c r="S46" i="34"/>
  <c r="AD11" i="27"/>
  <c r="AD39" i="34"/>
  <c r="M23" i="34"/>
  <c r="Z19" i="27"/>
  <c r="AD19" i="27"/>
  <c r="J11" i="34"/>
  <c r="L11" i="34"/>
  <c r="AD37" i="34"/>
  <c r="AC22" i="27"/>
  <c r="P34" i="27"/>
  <c r="X34" i="34"/>
  <c r="Y11" i="34"/>
  <c r="AD38" i="34"/>
  <c r="I30" i="27"/>
  <c r="K30" i="27"/>
  <c r="M29" i="27"/>
  <c r="N34" i="27"/>
  <c r="G30" i="27"/>
  <c r="I34" i="27"/>
  <c r="L29" i="27"/>
  <c r="M30" i="27"/>
  <c r="O30" i="27"/>
  <c r="U29" i="27"/>
  <c r="V31" i="27"/>
  <c r="W29" i="27"/>
  <c r="Z30" i="27"/>
  <c r="AD30" i="27" s="1"/>
  <c r="AA28" i="27"/>
  <c r="AA27" i="27" s="1"/>
  <c r="AA34" i="27"/>
  <c r="AB30" i="27"/>
  <c r="AC28" i="27"/>
  <c r="AC27" i="27" s="1"/>
  <c r="AC36" i="27" s="1"/>
  <c r="AC34" i="27"/>
  <c r="S21" i="34"/>
  <c r="AD40" i="34"/>
  <c r="Q36" i="34"/>
  <c r="Q44" i="34"/>
  <c r="Q49" i="34"/>
  <c r="S40" i="34"/>
  <c r="U22" i="27"/>
  <c r="X11" i="27"/>
  <c r="J34" i="27"/>
  <c r="V19" i="27"/>
  <c r="Z22" i="27"/>
  <c r="AD22" i="27"/>
  <c r="AC11" i="34"/>
  <c r="S38" i="34"/>
  <c r="AD11" i="34"/>
  <c r="K36" i="34"/>
  <c r="K44" i="34"/>
  <c r="K49" i="34"/>
  <c r="AD45" i="34"/>
  <c r="R47" i="27"/>
  <c r="AB22" i="27"/>
  <c r="W19" i="27"/>
  <c r="K32" i="11"/>
  <c r="H34" i="27"/>
  <c r="O34" i="27"/>
  <c r="N28" i="27"/>
  <c r="AD46" i="34"/>
  <c r="R11" i="27"/>
  <c r="Y47" i="34"/>
  <c r="J47" i="34"/>
  <c r="P11" i="34"/>
  <c r="R11" i="34"/>
  <c r="S39" i="34"/>
  <c r="T27" i="34"/>
  <c r="AD21" i="34"/>
  <c r="AA22" i="27"/>
  <c r="AA19" i="27"/>
  <c r="T22" i="27"/>
  <c r="X22" i="27"/>
  <c r="T19" i="27"/>
  <c r="X19" i="27"/>
  <c r="X20" i="27"/>
  <c r="AC47" i="34"/>
  <c r="S45" i="34"/>
  <c r="T42" i="34"/>
  <c r="T11" i="34"/>
  <c r="U11" i="34"/>
  <c r="T19" i="34"/>
  <c r="T47" i="34"/>
  <c r="N23" i="34"/>
  <c r="Z23" i="34"/>
  <c r="AA23" i="34"/>
  <c r="V23" i="34"/>
  <c r="AK65" i="30"/>
  <c r="W23" i="34"/>
  <c r="J32" i="11"/>
  <c r="J31" i="27" s="1"/>
  <c r="AD47" i="34"/>
  <c r="S47" i="34"/>
  <c r="P23" i="34"/>
  <c r="S23" i="34"/>
  <c r="U23" i="34"/>
  <c r="Y23" i="34"/>
  <c r="L32" i="11"/>
  <c r="O37" i="35"/>
  <c r="Q37" i="35" s="1"/>
  <c r="AC23" i="34"/>
  <c r="T15" i="34"/>
  <c r="T18" i="34"/>
  <c r="T36" i="34"/>
  <c r="T44" i="34"/>
  <c r="T49" i="34"/>
  <c r="F32" i="27"/>
  <c r="R32" i="27" s="1"/>
  <c r="G32" i="34"/>
  <c r="J32" i="34" s="1"/>
  <c r="L32" i="34" s="1"/>
  <c r="U37" i="35"/>
  <c r="W37" i="35" s="1"/>
  <c r="G16" i="34"/>
  <c r="H16" i="27"/>
  <c r="H16" i="34"/>
  <c r="V16" i="34"/>
  <c r="Q16" i="27"/>
  <c r="AA16" i="34"/>
  <c r="I16" i="34"/>
  <c r="F16" i="27"/>
  <c r="K16" i="27"/>
  <c r="I32" i="34"/>
  <c r="H32" i="27"/>
  <c r="N16" i="34"/>
  <c r="AD23" i="34"/>
  <c r="AA20" i="34"/>
  <c r="AA22" i="34"/>
  <c r="O16" i="34"/>
  <c r="W20" i="34"/>
  <c r="I37" i="35"/>
  <c r="K37" i="35" s="1"/>
  <c r="L16" i="27"/>
  <c r="P16" i="27"/>
  <c r="J32" i="27"/>
  <c r="N32" i="34"/>
  <c r="M32" i="34"/>
  <c r="P32" i="34" s="1"/>
  <c r="I32" i="27"/>
  <c r="M16" i="27"/>
  <c r="W16" i="34"/>
  <c r="AA37" i="35"/>
  <c r="AC37" i="35" s="1"/>
  <c r="N20" i="34"/>
  <c r="N22" i="34"/>
  <c r="N19" i="34"/>
  <c r="G16" i="27"/>
  <c r="O20" i="34"/>
  <c r="O22" i="34"/>
  <c r="O19" i="34"/>
  <c r="P20" i="27"/>
  <c r="P22" i="27"/>
  <c r="P19" i="27"/>
  <c r="M20" i="27"/>
  <c r="M22" i="27"/>
  <c r="M19" i="27"/>
  <c r="I20" i="27"/>
  <c r="I22" i="27"/>
  <c r="I19" i="27"/>
  <c r="Q20" i="27"/>
  <c r="Q22" i="27"/>
  <c r="Q19" i="27"/>
  <c r="G20" i="34"/>
  <c r="G22" i="34"/>
  <c r="K20" i="27"/>
  <c r="K22" i="27"/>
  <c r="K19" i="27"/>
  <c r="Z16" i="34"/>
  <c r="M32" i="11"/>
  <c r="M31" i="27" s="1"/>
  <c r="AB16" i="34"/>
  <c r="N16" i="27"/>
  <c r="X16" i="34"/>
  <c r="Y16" i="34"/>
  <c r="J16" i="27"/>
  <c r="O16" i="27"/>
  <c r="AB20" i="34"/>
  <c r="AB22" i="34"/>
  <c r="M20" i="34"/>
  <c r="M22" i="34"/>
  <c r="M19" i="34"/>
  <c r="H32" i="34"/>
  <c r="G32" i="27"/>
  <c r="O20" i="27"/>
  <c r="O22" i="27"/>
  <c r="O19" i="27"/>
  <c r="G20" i="27"/>
  <c r="G22" i="27"/>
  <c r="G19" i="27"/>
  <c r="J20" i="27"/>
  <c r="J22" i="27"/>
  <c r="J19" i="27"/>
  <c r="L20" i="27"/>
  <c r="L22" i="27"/>
  <c r="L19" i="27"/>
  <c r="N20" i="27"/>
  <c r="N22" i="27"/>
  <c r="N19" i="27"/>
  <c r="F20" i="27"/>
  <c r="F22" i="27"/>
  <c r="H20" i="34"/>
  <c r="H22" i="34"/>
  <c r="H19" i="34"/>
  <c r="AA19" i="34"/>
  <c r="G7" i="27"/>
  <c r="G9" i="27"/>
  <c r="G15" i="27"/>
  <c r="J16" i="34"/>
  <c r="O32" i="34"/>
  <c r="K32" i="27"/>
  <c r="X20" i="34"/>
  <c r="V20" i="34"/>
  <c r="V22" i="34"/>
  <c r="V19" i="34"/>
  <c r="I20" i="34"/>
  <c r="I22" i="34"/>
  <c r="I19" i="34"/>
  <c r="H20" i="27"/>
  <c r="H22" i="27"/>
  <c r="H19" i="27"/>
  <c r="Z20" i="34"/>
  <c r="V32" i="34"/>
  <c r="Y32" i="34" s="1"/>
  <c r="W22" i="34"/>
  <c r="G18" i="27"/>
  <c r="AC16" i="34"/>
  <c r="AD16" i="34"/>
  <c r="AB19" i="34"/>
  <c r="G19" i="34"/>
  <c r="J19" i="34"/>
  <c r="L19" i="34"/>
  <c r="F19" i="27"/>
  <c r="R19" i="27"/>
  <c r="H7" i="34"/>
  <c r="H9" i="34"/>
  <c r="H15" i="34"/>
  <c r="H18" i="34"/>
  <c r="N32" i="11"/>
  <c r="N31" i="27" s="1"/>
  <c r="P20" i="34"/>
  <c r="R20" i="34"/>
  <c r="M16" i="34"/>
  <c r="P16" i="34"/>
  <c r="S16" i="34"/>
  <c r="I16" i="27"/>
  <c r="R16" i="27"/>
  <c r="O7" i="34"/>
  <c r="O9" i="34"/>
  <c r="O15" i="34"/>
  <c r="O18" i="34"/>
  <c r="R20" i="27"/>
  <c r="Y20" i="34"/>
  <c r="M32" i="27"/>
  <c r="K7" i="27"/>
  <c r="K9" i="27"/>
  <c r="K15" i="27"/>
  <c r="K18" i="27"/>
  <c r="X22" i="34"/>
  <c r="X19" i="34"/>
  <c r="H7" i="27"/>
  <c r="H9" i="27"/>
  <c r="H15" i="27"/>
  <c r="H18" i="27"/>
  <c r="I7" i="34"/>
  <c r="I9" i="34"/>
  <c r="I15" i="34"/>
  <c r="I18" i="34"/>
  <c r="O32" i="11"/>
  <c r="J20" i="34"/>
  <c r="L20" i="34"/>
  <c r="Z22" i="34"/>
  <c r="AC20" i="34"/>
  <c r="L32" i="27"/>
  <c r="G7" i="34"/>
  <c r="F7" i="27"/>
  <c r="I7" i="27"/>
  <c r="I9" i="27"/>
  <c r="M7" i="34"/>
  <c r="M9" i="34"/>
  <c r="M15" i="34"/>
  <c r="J7" i="27"/>
  <c r="N7" i="34"/>
  <c r="W19" i="34"/>
  <c r="J22" i="34"/>
  <c r="L22" i="34"/>
  <c r="P19" i="34"/>
  <c r="R19" i="34"/>
  <c r="R22" i="27"/>
  <c r="P22" i="34"/>
  <c r="AD20" i="34"/>
  <c r="M18" i="34"/>
  <c r="W32" i="34"/>
  <c r="Y22" i="34"/>
  <c r="S20" i="34"/>
  <c r="U20" i="34"/>
  <c r="Z19" i="34"/>
  <c r="AC19" i="34"/>
  <c r="AC22" i="34"/>
  <c r="I15" i="27"/>
  <c r="I18" i="27"/>
  <c r="F9" i="27"/>
  <c r="F15" i="27"/>
  <c r="F18" i="27"/>
  <c r="G9" i="34"/>
  <c r="J9" i="34"/>
  <c r="J7" i="34"/>
  <c r="J9" i="27"/>
  <c r="J15" i="27"/>
  <c r="J18" i="27"/>
  <c r="W7" i="34"/>
  <c r="M7" i="27"/>
  <c r="N9" i="34"/>
  <c r="P9" i="34"/>
  <c r="P7" i="34"/>
  <c r="Y19" i="34"/>
  <c r="R22" i="34"/>
  <c r="S22" i="34"/>
  <c r="AD22" i="34"/>
  <c r="AD19" i="34"/>
  <c r="P32" i="11"/>
  <c r="P31" i="27" s="1"/>
  <c r="S19" i="34"/>
  <c r="U19" i="34"/>
  <c r="Q32" i="11"/>
  <c r="S7" i="34"/>
  <c r="S9" i="34"/>
  <c r="X32" i="34"/>
  <c r="N32" i="27"/>
  <c r="G15" i="34"/>
  <c r="N15" i="34"/>
  <c r="N18" i="34"/>
  <c r="T16" i="27"/>
  <c r="X7" i="34"/>
  <c r="N7" i="27"/>
  <c r="V7" i="34"/>
  <c r="L7" i="27"/>
  <c r="M9" i="27"/>
  <c r="M15" i="27"/>
  <c r="M18" i="27"/>
  <c r="W9" i="34"/>
  <c r="W15" i="34"/>
  <c r="W18" i="34"/>
  <c r="P32" i="27"/>
  <c r="S15" i="34"/>
  <c r="S18" i="34"/>
  <c r="O32" i="27"/>
  <c r="Z32" i="34"/>
  <c r="AC32" i="34" s="1"/>
  <c r="G18" i="34"/>
  <c r="J15" i="34"/>
  <c r="AA32" i="34"/>
  <c r="P15" i="34"/>
  <c r="L9" i="27"/>
  <c r="L15" i="27"/>
  <c r="V9" i="34"/>
  <c r="V15" i="34"/>
  <c r="Y7" i="34"/>
  <c r="N9" i="27"/>
  <c r="N15" i="27"/>
  <c r="N18" i="27"/>
  <c r="P18" i="34"/>
  <c r="X9" i="34"/>
  <c r="X15" i="34"/>
  <c r="X18" i="34"/>
  <c r="U15" i="34"/>
  <c r="J18" i="34"/>
  <c r="V18" i="34"/>
  <c r="Y15" i="34"/>
  <c r="Y9" i="34"/>
  <c r="L18" i="27"/>
  <c r="U18" i="34"/>
  <c r="AA7" i="34"/>
  <c r="P7" i="27"/>
  <c r="Q32" i="27"/>
  <c r="AB32" i="34"/>
  <c r="O7" i="27"/>
  <c r="Z7" i="34"/>
  <c r="P9" i="27"/>
  <c r="P15" i="27"/>
  <c r="P18" i="27"/>
  <c r="AA9" i="34"/>
  <c r="AA15" i="34"/>
  <c r="AA18" i="34"/>
  <c r="Y18" i="34"/>
  <c r="U16" i="27"/>
  <c r="Z9" i="34"/>
  <c r="Z15" i="34"/>
  <c r="O9" i="27"/>
  <c r="O15" i="27"/>
  <c r="Z18" i="34"/>
  <c r="O18" i="27"/>
  <c r="AB7" i="34"/>
  <c r="Q7" i="27"/>
  <c r="T32" i="27"/>
  <c r="X32" i="27" s="1"/>
  <c r="Q9" i="27"/>
  <c r="R9" i="27"/>
  <c r="R7" i="27"/>
  <c r="AB9" i="34"/>
  <c r="AC9" i="34"/>
  <c r="AD9" i="34"/>
  <c r="AC7" i="34"/>
  <c r="AD7" i="34"/>
  <c r="U32" i="27"/>
  <c r="V16" i="27"/>
  <c r="Q15" i="27"/>
  <c r="Q18" i="27"/>
  <c r="AB15" i="34"/>
  <c r="AD15" i="34"/>
  <c r="AD18" i="34"/>
  <c r="V32" i="27"/>
  <c r="R15" i="27"/>
  <c r="AB18" i="34"/>
  <c r="AC15" i="34"/>
  <c r="AC18" i="34"/>
  <c r="U7" i="27"/>
  <c r="T7" i="27"/>
  <c r="W16" i="27"/>
  <c r="X16" i="27"/>
  <c r="T9" i="27"/>
  <c r="T15" i="27"/>
  <c r="T18" i="27"/>
  <c r="U9" i="27"/>
  <c r="U15" i="27"/>
  <c r="U18" i="27"/>
  <c r="W32" i="27"/>
  <c r="Z32" i="27"/>
  <c r="AD32" i="27" s="1"/>
  <c r="V7" i="27"/>
  <c r="Z16" i="27"/>
  <c r="V9" i="27"/>
  <c r="V15" i="27"/>
  <c r="V18" i="27"/>
  <c r="AA32" i="27"/>
  <c r="W7" i="27"/>
  <c r="AA16" i="27"/>
  <c r="W9" i="27"/>
  <c r="X9" i="27"/>
  <c r="X7" i="27"/>
  <c r="AB32" i="27"/>
  <c r="W15" i="27"/>
  <c r="W18" i="27"/>
  <c r="X18" i="27"/>
  <c r="AB16" i="27"/>
  <c r="AC32" i="27"/>
  <c r="Z7" i="27"/>
  <c r="Z9" i="27"/>
  <c r="Z15" i="27"/>
  <c r="Z18" i="27"/>
  <c r="AA7" i="27"/>
  <c r="AA9" i="27"/>
  <c r="AA15" i="27"/>
  <c r="AA18" i="27"/>
  <c r="AC16" i="27"/>
  <c r="AD16" i="27"/>
  <c r="AB7" i="27"/>
  <c r="AB9" i="27"/>
  <c r="AB15" i="27"/>
  <c r="AB18" i="27"/>
  <c r="AC7" i="27"/>
  <c r="AC9" i="27"/>
  <c r="AD9" i="27"/>
  <c r="AD7" i="27"/>
  <c r="AC15" i="27"/>
  <c r="AC18" i="27"/>
  <c r="AD18" i="27"/>
  <c r="F58" i="42" l="1"/>
  <c r="G10" i="35" s="1"/>
  <c r="N58" i="42"/>
  <c r="X10" i="35" s="1"/>
  <c r="G58" i="42"/>
  <c r="H10" i="35" s="1"/>
  <c r="O58" i="42"/>
  <c r="Y10" i="35" s="1"/>
  <c r="E58" i="42"/>
  <c r="F10" i="35" s="1"/>
  <c r="H58" i="42"/>
  <c r="L10" i="35" s="1"/>
  <c r="P58" i="42"/>
  <c r="Z10" i="35" s="1"/>
  <c r="I58" i="42"/>
  <c r="M10" i="35" s="1"/>
  <c r="J58" i="42"/>
  <c r="N10" i="35" s="1"/>
  <c r="M58" i="42"/>
  <c r="T10" i="35" s="1"/>
  <c r="K58" i="42"/>
  <c r="R10" i="35" s="1"/>
  <c r="L58" i="42"/>
  <c r="S10" i="35" s="1"/>
  <c r="U38" i="43"/>
  <c r="Z26" i="35" s="1"/>
  <c r="AC44" i="27"/>
  <c r="AC49" i="27" s="1"/>
  <c r="G19" i="3"/>
  <c r="G21" i="3" s="1"/>
  <c r="H34" i="3"/>
  <c r="H35" i="3" s="1"/>
  <c r="H37" i="3" s="1"/>
  <c r="H27" i="3"/>
  <c r="H29" i="3" s="1"/>
  <c r="S39" i="30"/>
  <c r="S31" i="30"/>
  <c r="J65" i="30"/>
  <c r="M33" i="34" s="1"/>
  <c r="P65" i="30"/>
  <c r="O33" i="27" s="1"/>
  <c r="AL65" i="30"/>
  <c r="AQ65" i="30"/>
  <c r="AA65" i="30"/>
  <c r="AP65" i="30"/>
  <c r="AP73" i="30" s="1"/>
  <c r="AP75" i="30" s="1"/>
  <c r="O34" i="34"/>
  <c r="V31" i="34"/>
  <c r="F31" i="27"/>
  <c r="I28" i="34"/>
  <c r="I27" i="34" s="1"/>
  <c r="I36" i="34" s="1"/>
  <c r="X28" i="34"/>
  <c r="K31" i="27"/>
  <c r="AB37" i="43"/>
  <c r="AF57" i="35"/>
  <c r="H56" i="5" s="1"/>
  <c r="I56" i="5" s="1"/>
  <c r="G39" i="35"/>
  <c r="V24" i="35"/>
  <c r="K52" i="35"/>
  <c r="H50" i="5"/>
  <c r="F28" i="27"/>
  <c r="L26" i="35"/>
  <c r="AU17" i="30"/>
  <c r="AS65" i="30"/>
  <c r="W65" i="30"/>
  <c r="G26" i="35"/>
  <c r="H26" i="35"/>
  <c r="O35" i="41"/>
  <c r="G35" i="41"/>
  <c r="AU45" i="30"/>
  <c r="S24" i="30"/>
  <c r="AJ65" i="30"/>
  <c r="AN23" i="35" s="1"/>
  <c r="AI65" i="30"/>
  <c r="AI73" i="30" s="1"/>
  <c r="AI75" i="30" s="1"/>
  <c r="AN65" i="30"/>
  <c r="AN73" i="30" s="1"/>
  <c r="AN75" i="30" s="1"/>
  <c r="AN76" i="30" s="1"/>
  <c r="AK25" i="4" s="1" a="1"/>
  <c r="AK25" i="4" s="1"/>
  <c r="AL37" i="4" s="1"/>
  <c r="AM65" i="30"/>
  <c r="AM73" i="30" s="1"/>
  <c r="AM75" i="30" s="1"/>
  <c r="V65" i="30"/>
  <c r="V73" i="30" s="1"/>
  <c r="V75" i="30" s="1"/>
  <c r="U65" i="30"/>
  <c r="U73" i="30" s="1"/>
  <c r="U75" i="30" s="1"/>
  <c r="U76" i="30" s="1"/>
  <c r="S25" i="4" s="1" a="1"/>
  <c r="S25" i="4" s="1"/>
  <c r="T37" i="4" s="1"/>
  <c r="Z65" i="30"/>
  <c r="Z73" i="30" s="1"/>
  <c r="Z75" i="30" s="1"/>
  <c r="Z76" i="30" s="1"/>
  <c r="X25" i="4" s="1" a="1"/>
  <c r="X25" i="4" s="1"/>
  <c r="Y37" i="4" s="1"/>
  <c r="Y65" i="30"/>
  <c r="Y73" i="30" s="1"/>
  <c r="Y75" i="30" s="1"/>
  <c r="Y76" i="30" s="1"/>
  <c r="W25" i="4" s="1" a="1"/>
  <c r="W25" i="4" s="1"/>
  <c r="X37" i="4" s="1"/>
  <c r="X65" i="30"/>
  <c r="X73" i="30" s="1"/>
  <c r="X75" i="30" s="1"/>
  <c r="X76" i="30" s="1"/>
  <c r="V25" i="4" s="1" a="1"/>
  <c r="V25" i="4" s="1"/>
  <c r="W37" i="4" s="1"/>
  <c r="AC65" i="30"/>
  <c r="AG17" i="30"/>
  <c r="AF65" i="30"/>
  <c r="AE65" i="30"/>
  <c r="AE73" i="30" s="1"/>
  <c r="AE75" i="30" s="1"/>
  <c r="AD65" i="30"/>
  <c r="S61" i="30"/>
  <c r="R65" i="30"/>
  <c r="Q33" i="27" s="1"/>
  <c r="Q65" i="30"/>
  <c r="Y23" i="35" s="1"/>
  <c r="S45" i="30"/>
  <c r="AC25" i="34"/>
  <c r="AD25" i="34" s="1"/>
  <c r="AG24" i="30"/>
  <c r="M65" i="30"/>
  <c r="V33" i="34" s="1"/>
  <c r="AG31" i="30"/>
  <c r="AG45" i="30"/>
  <c r="AG53" i="30"/>
  <c r="U36" i="27"/>
  <c r="R25" i="27"/>
  <c r="L65" i="30"/>
  <c r="N23" i="35" s="1"/>
  <c r="AU39" i="30"/>
  <c r="AT65" i="30"/>
  <c r="AT73" i="30" s="1"/>
  <c r="AT75" i="30" s="1"/>
  <c r="AT76" i="30" s="1"/>
  <c r="AQ25" i="4" s="1" a="1"/>
  <c r="AQ25" i="4" s="1"/>
  <c r="W73" i="30"/>
  <c r="W75" i="30" s="1"/>
  <c r="G65" i="30"/>
  <c r="G73" i="30" s="1"/>
  <c r="G75" i="30" s="1"/>
  <c r="G76" i="30" s="1"/>
  <c r="F25" i="4" s="1" a="1"/>
  <c r="F25" i="4" s="1"/>
  <c r="AU31" i="30"/>
  <c r="I65" i="30"/>
  <c r="H33" i="27" s="1"/>
  <c r="P25" i="34"/>
  <c r="K65" i="30"/>
  <c r="K73" i="30" s="1"/>
  <c r="K75" i="30" s="1"/>
  <c r="K76" i="30" s="1"/>
  <c r="J25" i="4" s="1" a="1"/>
  <c r="J25" i="4" s="1"/>
  <c r="AU24" i="30"/>
  <c r="O65" i="30"/>
  <c r="X33" i="34" s="1"/>
  <c r="H65" i="30"/>
  <c r="G33" i="27" s="1"/>
  <c r="AA73" i="30"/>
  <c r="AA75" i="30" s="1"/>
  <c r="AB65" i="30"/>
  <c r="AB73" i="30" s="1"/>
  <c r="AB75" i="30" s="1"/>
  <c r="N65" i="30"/>
  <c r="S23" i="35" s="1"/>
  <c r="AB36" i="27"/>
  <c r="AA36" i="27"/>
  <c r="V36" i="27"/>
  <c r="W36" i="27"/>
  <c r="O38" i="43"/>
  <c r="N26" i="35" s="1"/>
  <c r="AA38" i="43"/>
  <c r="AG39" i="43"/>
  <c r="X44" i="43"/>
  <c r="X45" i="43" s="1"/>
  <c r="AH38" i="43"/>
  <c r="AQ38" i="43"/>
  <c r="Q44" i="43"/>
  <c r="AF44" i="43"/>
  <c r="Y44" i="43"/>
  <c r="AG44" i="43"/>
  <c r="AP44" i="43"/>
  <c r="AP45" i="43" s="1"/>
  <c r="Z44" i="43"/>
  <c r="Z45" i="43" s="1"/>
  <c r="AC38" i="43"/>
  <c r="AL38" i="43"/>
  <c r="AU38" i="43"/>
  <c r="X38" i="43"/>
  <c r="R44" i="43"/>
  <c r="AH44" i="43"/>
  <c r="AQ44" i="43"/>
  <c r="AQ45" i="43" s="1"/>
  <c r="P44" i="43"/>
  <c r="P45" i="43" s="1"/>
  <c r="R38" i="43"/>
  <c r="T26" i="35" s="1"/>
  <c r="AA44" i="43"/>
  <c r="AJ44" i="43"/>
  <c r="AR44" i="43"/>
  <c r="O44" i="43"/>
  <c r="AH37" i="43"/>
  <c r="Q38" i="43"/>
  <c r="S26" i="35" s="1"/>
  <c r="AB44" i="43"/>
  <c r="AB45" i="43" s="1"/>
  <c r="AK44" i="43"/>
  <c r="AS44" i="43"/>
  <c r="J44" i="43"/>
  <c r="N44" i="43"/>
  <c r="K39" i="43"/>
  <c r="G28" i="35" s="1"/>
  <c r="AC44" i="43"/>
  <c r="AL44" i="43"/>
  <c r="AT44" i="43"/>
  <c r="AT45" i="43" s="1"/>
  <c r="U44" i="43"/>
  <c r="AD44" i="43"/>
  <c r="AM44" i="43"/>
  <c r="AU44" i="43"/>
  <c r="T44" i="43"/>
  <c r="W44" i="43"/>
  <c r="AE44" i="43"/>
  <c r="AE45" i="43" s="1"/>
  <c r="AN44" i="43"/>
  <c r="AN45" i="43" s="1"/>
  <c r="M39" i="43"/>
  <c r="L28" i="35" s="1"/>
  <c r="S44" i="43"/>
  <c r="R39" i="43"/>
  <c r="T28" i="35" s="1"/>
  <c r="AC39" i="43"/>
  <c r="Z37" i="43"/>
  <c r="AB39" i="43"/>
  <c r="AO38" i="43"/>
  <c r="AO44" i="43"/>
  <c r="AO45" i="43" s="1"/>
  <c r="AD38" i="43"/>
  <c r="Y38" i="43"/>
  <c r="X37" i="43"/>
  <c r="Z38" i="43"/>
  <c r="AE38" i="43"/>
  <c r="Z39" i="43"/>
  <c r="W39" i="43"/>
  <c r="AF38" i="43"/>
  <c r="W38" i="43"/>
  <c r="AM38" i="43"/>
  <c r="AC37" i="43"/>
  <c r="S38" i="43"/>
  <c r="X26" i="35" s="1"/>
  <c r="AG38" i="43"/>
  <c r="AN38" i="43"/>
  <c r="AS39" i="43"/>
  <c r="AD37" i="43"/>
  <c r="AE37" i="43"/>
  <c r="P38" i="43"/>
  <c r="R26" i="35" s="1"/>
  <c r="N39" i="43"/>
  <c r="M28" i="35" s="1"/>
  <c r="J38" i="43"/>
  <c r="F26" i="35" s="1"/>
  <c r="AP38" i="43"/>
  <c r="P39" i="43"/>
  <c r="R28" i="35" s="1"/>
  <c r="Q39" i="43"/>
  <c r="S28" i="35" s="1"/>
  <c r="AL39" i="43"/>
  <c r="AK38" i="43"/>
  <c r="AR38" i="43"/>
  <c r="S37" i="43"/>
  <c r="AM37" i="43"/>
  <c r="T39" i="43"/>
  <c r="Y28" i="35" s="1"/>
  <c r="P37" i="43"/>
  <c r="AK39" i="43"/>
  <c r="AP39" i="43"/>
  <c r="AM39" i="43"/>
  <c r="AJ37" i="43"/>
  <c r="AN37" i="43"/>
  <c r="Y39" i="43"/>
  <c r="X39" i="43"/>
  <c r="N38" i="43"/>
  <c r="M26" i="35" s="1"/>
  <c r="N37" i="43"/>
  <c r="AT38" i="43"/>
  <c r="M37" i="43"/>
  <c r="L27" i="35" s="1"/>
  <c r="K68" i="11"/>
  <c r="K22" i="4" s="1" a="1"/>
  <c r="K22" i="4" s="1"/>
  <c r="N34" i="34"/>
  <c r="Z31" i="34"/>
  <c r="G31" i="27"/>
  <c r="M28" i="27"/>
  <c r="M27" i="27" s="1"/>
  <c r="M36" i="27" s="1"/>
  <c r="N28" i="34"/>
  <c r="N27" i="34" s="1"/>
  <c r="N36" i="34" s="1"/>
  <c r="O28" i="34"/>
  <c r="O27" i="34" s="1"/>
  <c r="O36" i="34" s="1"/>
  <c r="AK73" i="30"/>
  <c r="AK75" i="30" s="1"/>
  <c r="AK76" i="30" s="1"/>
  <c r="AH25" i="4" s="1" a="1"/>
  <c r="AH25" i="4" s="1"/>
  <c r="AI37" i="4" s="1"/>
  <c r="G11" i="3"/>
  <c r="G13" i="3" s="1"/>
  <c r="H7" i="3"/>
  <c r="H34" i="35"/>
  <c r="AA29" i="35"/>
  <c r="AC29" i="35" s="1"/>
  <c r="G35" i="35"/>
  <c r="Z39" i="35"/>
  <c r="R34" i="35"/>
  <c r="AD57" i="35"/>
  <c r="G56" i="5" s="1"/>
  <c r="AA59" i="35"/>
  <c r="AC59" i="35" s="1"/>
  <c r="Y39" i="35"/>
  <c r="AO38" i="35"/>
  <c r="AO35" i="35"/>
  <c r="AO39" i="35"/>
  <c r="AN38" i="35"/>
  <c r="AN35" i="35"/>
  <c r="AQ39" i="35"/>
  <c r="AQ36" i="35"/>
  <c r="AQ34" i="35"/>
  <c r="AP39" i="35"/>
  <c r="AP36" i="35"/>
  <c r="AP34" i="35"/>
  <c r="AO34" i="35"/>
  <c r="AN39" i="35"/>
  <c r="AN36" i="35"/>
  <c r="AN34" i="35"/>
  <c r="AQ38" i="35"/>
  <c r="AQ35" i="35"/>
  <c r="AP33" i="35"/>
  <c r="AO36" i="35"/>
  <c r="AP38" i="35"/>
  <c r="AP35" i="35"/>
  <c r="AN33" i="35"/>
  <c r="AO33" i="35"/>
  <c r="AQ33" i="35"/>
  <c r="P24" i="35"/>
  <c r="T38" i="35"/>
  <c r="M31" i="34"/>
  <c r="H31" i="34"/>
  <c r="J28" i="27"/>
  <c r="J27" i="27" s="1"/>
  <c r="J36" i="27" s="1"/>
  <c r="W16" i="35"/>
  <c r="H16" i="5"/>
  <c r="I16" i="5" s="1"/>
  <c r="K47" i="35"/>
  <c r="AD47" i="35"/>
  <c r="G45" i="5" s="1"/>
  <c r="AC17" i="35"/>
  <c r="AD52" i="35"/>
  <c r="AD17" i="35"/>
  <c r="G16" i="5" s="1"/>
  <c r="K49" i="35"/>
  <c r="AD49" i="35"/>
  <c r="G47" i="5" s="1"/>
  <c r="Q45" i="35"/>
  <c r="AD45" i="35"/>
  <c r="AF58" i="35"/>
  <c r="H57" i="5" s="1"/>
  <c r="I57" i="5" s="1"/>
  <c r="AD15" i="35"/>
  <c r="N39" i="35"/>
  <c r="G38" i="35"/>
  <c r="F36" i="35"/>
  <c r="Y35" i="35"/>
  <c r="R36" i="35"/>
  <c r="L33" i="35"/>
  <c r="R39" i="35"/>
  <c r="L31" i="27"/>
  <c r="S35" i="35"/>
  <c r="AB28" i="34"/>
  <c r="AB27" i="34" s="1"/>
  <c r="AB36" i="34" s="1"/>
  <c r="S29" i="34"/>
  <c r="AB24" i="35"/>
  <c r="J24" i="35"/>
  <c r="H45" i="5"/>
  <c r="AC16" i="35"/>
  <c r="Q16" i="35"/>
  <c r="H15" i="5"/>
  <c r="I15" i="5" s="1"/>
  <c r="M36" i="35"/>
  <c r="T33" i="35"/>
  <c r="AD31" i="35"/>
  <c r="G29" i="5" s="1"/>
  <c r="AD58" i="35"/>
  <c r="G57" i="5" s="1"/>
  <c r="L34" i="35"/>
  <c r="H14" i="5"/>
  <c r="I14" i="5" s="1"/>
  <c r="M38" i="35"/>
  <c r="T36" i="35"/>
  <c r="M35" i="35"/>
  <c r="H36" i="35"/>
  <c r="O29" i="35"/>
  <c r="AD30" i="35"/>
  <c r="G28" i="5" s="1"/>
  <c r="S33" i="35"/>
  <c r="N36" i="35"/>
  <c r="Z38" i="35"/>
  <c r="Q17" i="35"/>
  <c r="U59" i="35"/>
  <c r="W59" i="35" s="1"/>
  <c r="X36" i="35"/>
  <c r="N38" i="35"/>
  <c r="M39" i="35"/>
  <c r="AK36" i="35"/>
  <c r="AJ35" i="35"/>
  <c r="AI36" i="35"/>
  <c r="AH39" i="35"/>
  <c r="AI39" i="35"/>
  <c r="AK35" i="35"/>
  <c r="AJ34" i="35"/>
  <c r="AI35" i="35"/>
  <c r="AH38" i="35"/>
  <c r="AK34" i="35"/>
  <c r="AJ33" i="35"/>
  <c r="AI34" i="35"/>
  <c r="AH36" i="35"/>
  <c r="AJ39" i="35"/>
  <c r="AH33" i="35"/>
  <c r="AJ38" i="35"/>
  <c r="AJ36" i="35"/>
  <c r="AK33" i="35"/>
  <c r="AI33" i="35"/>
  <c r="AH35" i="35"/>
  <c r="AK39" i="35"/>
  <c r="AK38" i="35"/>
  <c r="AH34" i="35"/>
  <c r="AI38" i="35"/>
  <c r="H29" i="5"/>
  <c r="O59" i="35"/>
  <c r="Q59" i="35" s="1"/>
  <c r="X39" i="35"/>
  <c r="T35" i="35"/>
  <c r="R35" i="35"/>
  <c r="N35" i="35"/>
  <c r="AD16" i="35"/>
  <c r="G15" i="5" s="1"/>
  <c r="M33" i="35"/>
  <c r="S38" i="35"/>
  <c r="AL47" i="35"/>
  <c r="K45" i="5" s="1"/>
  <c r="X35" i="35"/>
  <c r="G36" i="35"/>
  <c r="H44" i="5"/>
  <c r="H48" i="5"/>
  <c r="H42" i="5"/>
  <c r="AD44" i="35"/>
  <c r="H47" i="5"/>
  <c r="AD50" i="35"/>
  <c r="W45" i="35"/>
  <c r="G43" i="5"/>
  <c r="AL45" i="35"/>
  <c r="K43" i="5" s="1"/>
  <c r="AD46" i="35"/>
  <c r="AC47" i="35"/>
  <c r="H43" i="5"/>
  <c r="AD37" i="35"/>
  <c r="G35" i="5" s="1"/>
  <c r="G27" i="34"/>
  <c r="J27" i="34" s="1"/>
  <c r="L27" i="34" s="1"/>
  <c r="AH29" i="35"/>
  <c r="AL29" i="35" s="1"/>
  <c r="U29" i="35"/>
  <c r="W29" i="35" s="1"/>
  <c r="I29" i="35"/>
  <c r="K29" i="35" s="1"/>
  <c r="H28" i="5"/>
  <c r="AS73" i="30"/>
  <c r="AS75" i="30" s="1"/>
  <c r="AR65" i="30"/>
  <c r="AG39" i="30"/>
  <c r="AQ73" i="30"/>
  <c r="AQ75" i="30" s="1"/>
  <c r="AQ76" i="30" s="1"/>
  <c r="AN25" i="4" s="1" a="1"/>
  <c r="AN25" i="4" s="1"/>
  <c r="AO37" i="4" s="1"/>
  <c r="AF73" i="30"/>
  <c r="AF75" i="30" s="1"/>
  <c r="AF76" i="30" s="1"/>
  <c r="AD25" i="4" s="1" a="1"/>
  <c r="AD25" i="4" s="1"/>
  <c r="AF37" i="4" s="1"/>
  <c r="AL73" i="30"/>
  <c r="AL75" i="30" s="1"/>
  <c r="AL76" i="30" s="1"/>
  <c r="AI25" i="4" s="1" a="1"/>
  <c r="AI25" i="4" s="1"/>
  <c r="AJ37" i="4" s="1"/>
  <c r="AO73" i="30"/>
  <c r="AO75" i="30" s="1"/>
  <c r="AO76" i="30" s="1"/>
  <c r="AL25" i="4" s="1" a="1"/>
  <c r="AL25" i="4" s="1"/>
  <c r="AM37" i="4" s="1"/>
  <c r="AD74" i="30"/>
  <c r="AM76" i="30"/>
  <c r="AJ25" i="4" s="1" a="1"/>
  <c r="AJ25" i="4" s="1"/>
  <c r="AK37" i="4" s="1"/>
  <c r="V74" i="30"/>
  <c r="R74" i="30"/>
  <c r="O33" i="34"/>
  <c r="Z33" i="35"/>
  <c r="Z36" i="35"/>
  <c r="F35" i="35"/>
  <c r="Y33" i="35"/>
  <c r="S36" i="35"/>
  <c r="R38" i="35"/>
  <c r="N33" i="35"/>
  <c r="L36" i="35"/>
  <c r="H38" i="35"/>
  <c r="F38" i="35"/>
  <c r="L38" i="35"/>
  <c r="H39" i="35"/>
  <c r="F33" i="35"/>
  <c r="Z35" i="35"/>
  <c r="Y38" i="35"/>
  <c r="X38" i="35"/>
  <c r="R33" i="35"/>
  <c r="L39" i="35"/>
  <c r="H33" i="35"/>
  <c r="L39" i="43"/>
  <c r="H28" i="35" s="1"/>
  <c r="L37" i="43"/>
  <c r="L45" i="43" s="1"/>
  <c r="K37" i="43"/>
  <c r="K45" i="43" s="1"/>
  <c r="K26" i="3"/>
  <c r="L23" i="3" s="1"/>
  <c r="I27" i="3"/>
  <c r="I29" i="3" s="1"/>
  <c r="J27" i="3"/>
  <c r="J29" i="3" s="1"/>
  <c r="I18" i="3"/>
  <c r="J15" i="3" s="1"/>
  <c r="H19" i="3"/>
  <c r="H21" i="3" s="1"/>
  <c r="H34" i="34"/>
  <c r="I34" i="34"/>
  <c r="G34" i="34"/>
  <c r="G34" i="35"/>
  <c r="R58" i="11"/>
  <c r="R52" i="11"/>
  <c r="R39" i="11"/>
  <c r="H35" i="5"/>
  <c r="W37" i="43"/>
  <c r="U37" i="43"/>
  <c r="T37" i="43"/>
  <c r="K30" i="35"/>
  <c r="I59" i="35"/>
  <c r="K57" i="35"/>
  <c r="V28" i="34"/>
  <c r="V27" i="34" s="1"/>
  <c r="V36" i="34" s="1"/>
  <c r="R15" i="11"/>
  <c r="I28" i="27"/>
  <c r="I27" i="27" s="1"/>
  <c r="I36" i="27" s="1"/>
  <c r="M28" i="34"/>
  <c r="F27" i="27"/>
  <c r="R27" i="27" s="1"/>
  <c r="I74" i="30"/>
  <c r="AJ74" i="30"/>
  <c r="AP74" i="30"/>
  <c r="P73" i="30"/>
  <c r="P75" i="30" s="1"/>
  <c r="P76" i="30" s="1"/>
  <c r="O25" i="4" s="1" a="1"/>
  <c r="O25" i="4" s="1"/>
  <c r="L23" i="35"/>
  <c r="I33" i="27"/>
  <c r="AC73" i="30"/>
  <c r="AC75" i="30" s="1"/>
  <c r="AC76" i="30" s="1"/>
  <c r="AA25" i="4" s="1" a="1"/>
  <c r="AA25" i="4" s="1"/>
  <c r="AB37" i="4" s="1"/>
  <c r="W74" i="30"/>
  <c r="AA74" i="30"/>
  <c r="AE74" i="30"/>
  <c r="AS74" i="30"/>
  <c r="M74" i="30"/>
  <c r="J73" i="30"/>
  <c r="J75" i="30" s="1"/>
  <c r="J76" i="30" s="1"/>
  <c r="I25" i="4" s="1" a="1"/>
  <c r="I25" i="4" s="1"/>
  <c r="AB74" i="30"/>
  <c r="AI74" i="30"/>
  <c r="L74" i="30"/>
  <c r="S17" i="30"/>
  <c r="R30" i="27"/>
  <c r="H27" i="27"/>
  <c r="H36" i="27" s="1"/>
  <c r="Q27" i="27"/>
  <c r="Q36" i="27" s="1"/>
  <c r="F39" i="35"/>
  <c r="R46" i="11"/>
  <c r="Q68" i="11"/>
  <c r="Q22" i="4" s="1" a="1"/>
  <c r="Q22" i="4" s="1"/>
  <c r="T39" i="35"/>
  <c r="M34" i="34"/>
  <c r="Y34" i="35"/>
  <c r="O31" i="34"/>
  <c r="T34" i="35"/>
  <c r="Z34" i="35"/>
  <c r="F68" i="11"/>
  <c r="W27" i="34"/>
  <c r="W36" i="34" s="1"/>
  <c r="P30" i="34"/>
  <c r="R30" i="34" s="1"/>
  <c r="J30" i="34"/>
  <c r="L30" i="34" s="1"/>
  <c r="X31" i="34"/>
  <c r="X27" i="34"/>
  <c r="X36" i="34" s="1"/>
  <c r="AC30" i="34"/>
  <c r="R29" i="27"/>
  <c r="R34" i="27"/>
  <c r="Y30" i="34"/>
  <c r="N27" i="27"/>
  <c r="N36" i="27" s="1"/>
  <c r="T36" i="27"/>
  <c r="X27" i="27"/>
  <c r="X36" i="27" s="1"/>
  <c r="AD32" i="34"/>
  <c r="R32" i="34"/>
  <c r="S32" i="34"/>
  <c r="U32" i="34" s="1"/>
  <c r="X28" i="27"/>
  <c r="L27" i="27"/>
  <c r="L36" i="27" s="1"/>
  <c r="Z27" i="27"/>
  <c r="R23" i="11"/>
  <c r="AB31" i="34"/>
  <c r="Q31" i="27"/>
  <c r="M68" i="11"/>
  <c r="M22" i="4" s="1" a="1"/>
  <c r="M22" i="4" s="1"/>
  <c r="N34" i="35"/>
  <c r="AA31" i="34"/>
  <c r="M34" i="35"/>
  <c r="O31" i="27"/>
  <c r="G31" i="34"/>
  <c r="R32" i="11"/>
  <c r="O68" i="11"/>
  <c r="O22" i="4" s="1" a="1"/>
  <c r="O22" i="4" s="1"/>
  <c r="H68" i="11"/>
  <c r="H22" i="4" s="1" a="1"/>
  <c r="H22" i="4" s="1"/>
  <c r="N31" i="34"/>
  <c r="J68" i="11"/>
  <c r="J22" i="4" s="1" a="1"/>
  <c r="J22" i="4" s="1"/>
  <c r="H31" i="27"/>
  <c r="S34" i="35"/>
  <c r="W31" i="34"/>
  <c r="I31" i="34"/>
  <c r="F34" i="35"/>
  <c r="X34" i="35"/>
  <c r="P68" i="11"/>
  <c r="P22" i="4" s="1" a="1"/>
  <c r="P22" i="4" s="1"/>
  <c r="L68" i="11"/>
  <c r="L22" i="4" s="1" a="1"/>
  <c r="L22" i="4" s="1"/>
  <c r="I68" i="11"/>
  <c r="I22" i="4" s="1" a="1"/>
  <c r="I22" i="4" s="1"/>
  <c r="L35" i="35"/>
  <c r="N68" i="11"/>
  <c r="N22" i="4" s="1" a="1"/>
  <c r="N22" i="4" s="1"/>
  <c r="H35" i="35"/>
  <c r="H28" i="34"/>
  <c r="Z28" i="34"/>
  <c r="Z27" i="34" s="1"/>
  <c r="Z36" i="34" s="1"/>
  <c r="AA28" i="34"/>
  <c r="AA27" i="34" s="1"/>
  <c r="AA36" i="34" s="1"/>
  <c r="K28" i="27"/>
  <c r="K27" i="27" s="1"/>
  <c r="K36" i="27" s="1"/>
  <c r="G28" i="27"/>
  <c r="G27" i="27" s="1"/>
  <c r="G36" i="27" s="1"/>
  <c r="P28" i="27"/>
  <c r="P27" i="27" s="1"/>
  <c r="P36" i="27" s="1"/>
  <c r="G33" i="35"/>
  <c r="G68" i="11"/>
  <c r="G22" i="4" s="1" a="1"/>
  <c r="G22" i="4" s="1"/>
  <c r="X33" i="35"/>
  <c r="O28" i="27"/>
  <c r="O27" i="27" s="1"/>
  <c r="O36" i="27" s="1"/>
  <c r="Y28" i="34"/>
  <c r="R10" i="11"/>
  <c r="AT39" i="43"/>
  <c r="AT37" i="43"/>
  <c r="AU37" i="43"/>
  <c r="AO37" i="43"/>
  <c r="AN39" i="43"/>
  <c r="AJ39" i="43"/>
  <c r="U39" i="43"/>
  <c r="Z28" i="35" s="1"/>
  <c r="AL37" i="43"/>
  <c r="AG37" i="43"/>
  <c r="J37" i="43"/>
  <c r="AR39" i="43"/>
  <c r="J39" i="43"/>
  <c r="F28" i="35" s="1"/>
  <c r="AP37" i="43"/>
  <c r="S39" i="43"/>
  <c r="AO39" i="43"/>
  <c r="AF37" i="43"/>
  <c r="AA39" i="43"/>
  <c r="AD39" i="43"/>
  <c r="AE39" i="43"/>
  <c r="O37" i="43"/>
  <c r="AS37" i="43"/>
  <c r="Y37" i="43"/>
  <c r="AK37" i="43"/>
  <c r="AQ39" i="43"/>
  <c r="AF39" i="43"/>
  <c r="Q37" i="43"/>
  <c r="AA37" i="43"/>
  <c r="R37" i="43"/>
  <c r="AQ37" i="43"/>
  <c r="AH39" i="43"/>
  <c r="O39" i="43"/>
  <c r="AR37" i="43"/>
  <c r="AU39" i="43"/>
  <c r="Z27" i="35" l="1"/>
  <c r="AL45" i="43"/>
  <c r="AB40" i="43"/>
  <c r="X20" i="4" s="1"/>
  <c r="W45" i="43"/>
  <c r="AC45" i="43"/>
  <c r="AH45" i="43"/>
  <c r="AG45" i="43"/>
  <c r="T45" i="43"/>
  <c r="O45" i="43"/>
  <c r="R45" i="43"/>
  <c r="Y45" i="43"/>
  <c r="AU45" i="43"/>
  <c r="N45" i="43"/>
  <c r="AR45" i="43"/>
  <c r="AF45" i="43"/>
  <c r="M45" i="43"/>
  <c r="AM45" i="43"/>
  <c r="J45" i="43"/>
  <c r="AJ45" i="43"/>
  <c r="Q45" i="43"/>
  <c r="AD45" i="43"/>
  <c r="AA45" i="43"/>
  <c r="S45" i="43"/>
  <c r="AS45" i="43"/>
  <c r="U45" i="43"/>
  <c r="AK45" i="43"/>
  <c r="G38" i="3"/>
  <c r="G41" i="34" s="1"/>
  <c r="G42" i="34" s="1"/>
  <c r="Z33" i="34"/>
  <c r="X23" i="35"/>
  <c r="I31" i="3"/>
  <c r="F41" i="27"/>
  <c r="F42" i="27" s="1"/>
  <c r="F51" i="35"/>
  <c r="F54" i="35" s="1"/>
  <c r="AQ21" i="35"/>
  <c r="J33" i="27"/>
  <c r="N33" i="34"/>
  <c r="M23" i="35"/>
  <c r="O23" i="35" s="1"/>
  <c r="Q23" i="35" s="1"/>
  <c r="I33" i="34"/>
  <c r="H23" i="35"/>
  <c r="Q73" i="30"/>
  <c r="Q75" i="30" s="1"/>
  <c r="Q76" i="30" s="1"/>
  <c r="P25" i="4" s="1" a="1"/>
  <c r="P25" i="4" s="1"/>
  <c r="O73" i="30"/>
  <c r="O75" i="30" s="1"/>
  <c r="O76" i="30" s="1"/>
  <c r="N25" i="4" s="1" a="1"/>
  <c r="N25" i="4" s="1"/>
  <c r="I73" i="30"/>
  <c r="I75" i="30" s="1"/>
  <c r="I76" i="30" s="1"/>
  <c r="P34" i="34"/>
  <c r="R23" i="35"/>
  <c r="P33" i="27"/>
  <c r="N33" i="27"/>
  <c r="T23" i="35"/>
  <c r="F22" i="4" a="1"/>
  <c r="F22" i="4" s="1"/>
  <c r="AA36" i="35"/>
  <c r="AC36" i="35" s="1"/>
  <c r="AG40" i="43"/>
  <c r="AC20" i="4" s="1"/>
  <c r="Z40" i="43"/>
  <c r="V20" i="4" s="1"/>
  <c r="AH40" i="43"/>
  <c r="AD20" i="4" s="1"/>
  <c r="H27" i="35"/>
  <c r="H25" i="35" s="1"/>
  <c r="I28" i="35"/>
  <c r="K28" i="35" s="1"/>
  <c r="G27" i="35"/>
  <c r="G25" i="35" s="1"/>
  <c r="Y27" i="35"/>
  <c r="Y25" i="35" s="1"/>
  <c r="AI44" i="4"/>
  <c r="AA76" i="30"/>
  <c r="Y25" i="4" s="1" a="1"/>
  <c r="Y25" i="4" s="1"/>
  <c r="Z37" i="4" s="1"/>
  <c r="U39" i="35"/>
  <c r="W39" i="35" s="1"/>
  <c r="AK14" i="35"/>
  <c r="AD59" i="35"/>
  <c r="G58" i="5" s="1"/>
  <c r="AP14" i="35"/>
  <c r="AN14" i="35"/>
  <c r="AA39" i="35"/>
  <c r="AC39" i="35" s="1"/>
  <c r="AI14" i="35"/>
  <c r="AJ14" i="35"/>
  <c r="AH14" i="35"/>
  <c r="AQ14" i="35"/>
  <c r="AO14" i="35"/>
  <c r="I45" i="5"/>
  <c r="W76" i="30"/>
  <c r="AP76" i="30"/>
  <c r="AM25" i="4" s="1" a="1"/>
  <c r="AM25" i="4" s="1"/>
  <c r="AN37" i="4" s="1"/>
  <c r="AD73" i="30"/>
  <c r="AD75" i="30" s="1"/>
  <c r="AD76" i="30" s="1"/>
  <c r="AB25" i="4" s="1" a="1"/>
  <c r="AB25" i="4" s="1"/>
  <c r="AC37" i="4" s="1"/>
  <c r="G23" i="35"/>
  <c r="L73" i="30"/>
  <c r="L75" i="30" s="1"/>
  <c r="L76" i="30" s="1"/>
  <c r="V76" i="30"/>
  <c r="K33" i="27"/>
  <c r="M73" i="30"/>
  <c r="M75" i="30" s="1"/>
  <c r="M76" i="30" s="1"/>
  <c r="L33" i="27"/>
  <c r="AE76" i="30"/>
  <c r="AC25" i="4" s="1" a="1"/>
  <c r="AC25" i="4" s="1"/>
  <c r="AD37" i="4" s="1"/>
  <c r="N73" i="30"/>
  <c r="N75" i="30" s="1"/>
  <c r="N76" i="30" s="1"/>
  <c r="AG65" i="30"/>
  <c r="M33" i="27"/>
  <c r="R73" i="30"/>
  <c r="R75" i="30" s="1"/>
  <c r="R76" i="30" s="1"/>
  <c r="Q25" i="4" s="1" a="1"/>
  <c r="Q25" i="4" s="1"/>
  <c r="W33" i="34"/>
  <c r="Y33" i="34" s="1"/>
  <c r="AK23" i="35"/>
  <c r="I26" i="35"/>
  <c r="W44" i="4"/>
  <c r="AF44" i="4"/>
  <c r="AK44" i="4"/>
  <c r="AB44" i="4"/>
  <c r="AO44" i="4"/>
  <c r="AL44" i="4"/>
  <c r="AM44" i="4"/>
  <c r="Y44" i="4"/>
  <c r="AO21" i="35"/>
  <c r="AN26" i="35"/>
  <c r="O12" i="35"/>
  <c r="Q12" i="35" s="1"/>
  <c r="O26" i="35"/>
  <c r="AI23" i="35"/>
  <c r="AA33" i="34"/>
  <c r="Z23" i="35"/>
  <c r="AH23" i="35"/>
  <c r="AJ23" i="35"/>
  <c r="AJ21" i="35" s="1"/>
  <c r="AJ73" i="30"/>
  <c r="AJ75" i="30" s="1"/>
  <c r="AJ76" i="30" s="1"/>
  <c r="AG25" i="4" s="1" a="1"/>
  <c r="AG25" i="4" s="1"/>
  <c r="AH37" i="4" s="1"/>
  <c r="AB33" i="34"/>
  <c r="AQ26" i="35"/>
  <c r="G33" i="34"/>
  <c r="F33" i="27"/>
  <c r="F23" i="35"/>
  <c r="S65" i="30"/>
  <c r="AI76" i="30"/>
  <c r="AF25" i="4" s="1" a="1"/>
  <c r="AF25" i="4" s="1"/>
  <c r="AG37" i="4" s="1"/>
  <c r="AB76" i="30"/>
  <c r="Z25" i="4" s="1" a="1"/>
  <c r="Z25" i="4" s="1"/>
  <c r="AA37" i="4" s="1"/>
  <c r="H73" i="30"/>
  <c r="H75" i="30" s="1"/>
  <c r="H76" i="30" s="1"/>
  <c r="H33" i="34"/>
  <c r="AS76" i="30"/>
  <c r="AP25" i="4" s="1" a="1"/>
  <c r="AP25" i="4" s="1"/>
  <c r="AQ37" i="4" s="1"/>
  <c r="AI26" i="35"/>
  <c r="AC40" i="43"/>
  <c r="Y20" i="4" s="1"/>
  <c r="U28" i="35"/>
  <c r="W28" i="35" s="1"/>
  <c r="AM40" i="43"/>
  <c r="AI20" i="4" s="1"/>
  <c r="AH26" i="35"/>
  <c r="M40" i="43"/>
  <c r="I20" i="4" s="1"/>
  <c r="N40" i="43"/>
  <c r="J20" i="4" s="1"/>
  <c r="AI28" i="35"/>
  <c r="AD40" i="43"/>
  <c r="Z20" i="4" s="1"/>
  <c r="AE40" i="43"/>
  <c r="AA20" i="4" s="1"/>
  <c r="P40" i="43"/>
  <c r="AJ26" i="35"/>
  <c r="K40" i="43"/>
  <c r="G20" i="4" s="1"/>
  <c r="AH28" i="35"/>
  <c r="AL40" i="43"/>
  <c r="AH20" i="4" s="1"/>
  <c r="AH27" i="35"/>
  <c r="AU40" i="43"/>
  <c r="AQ20" i="4" s="1"/>
  <c r="AK26" i="35"/>
  <c r="X40" i="43"/>
  <c r="T20" i="4" s="1"/>
  <c r="W40" i="43"/>
  <c r="AO26" i="35"/>
  <c r="AO40" i="43"/>
  <c r="AK20" i="4" s="1"/>
  <c r="AJ27" i="35"/>
  <c r="AO27" i="35"/>
  <c r="AP26" i="35"/>
  <c r="M27" i="35"/>
  <c r="M25" i="35" s="1"/>
  <c r="X27" i="35"/>
  <c r="F27" i="35"/>
  <c r="R27" i="35"/>
  <c r="R25" i="35" s="1"/>
  <c r="AP28" i="35"/>
  <c r="T40" i="43"/>
  <c r="AI27" i="35"/>
  <c r="AK28" i="35"/>
  <c r="AN40" i="43"/>
  <c r="AJ20" i="4" s="1"/>
  <c r="AJ28" i="35"/>
  <c r="AK27" i="35"/>
  <c r="AP27" i="35"/>
  <c r="AT40" i="43"/>
  <c r="AP20" i="4" s="1"/>
  <c r="P28" i="34"/>
  <c r="R28" i="34" s="1"/>
  <c r="I36" i="35"/>
  <c r="K36" i="35" s="1"/>
  <c r="O35" i="35"/>
  <c r="Q35" i="35" s="1"/>
  <c r="O39" i="35"/>
  <c r="Q39" i="35" s="1"/>
  <c r="P31" i="34"/>
  <c r="R31" i="34" s="1"/>
  <c r="U33" i="35"/>
  <c r="W33" i="35" s="1"/>
  <c r="G36" i="34"/>
  <c r="G44" i="34" s="1"/>
  <c r="AJ44" i="4"/>
  <c r="H10" i="3"/>
  <c r="L40" i="43"/>
  <c r="H20" i="4" s="1"/>
  <c r="AA12" i="35"/>
  <c r="AC12" i="35" s="1"/>
  <c r="U12" i="35"/>
  <c r="W12" i="35" s="1"/>
  <c r="AR12" i="35"/>
  <c r="M11" i="5" s="1"/>
  <c r="AL12" i="35"/>
  <c r="K11" i="5" s="1"/>
  <c r="I47" i="5"/>
  <c r="I12" i="35"/>
  <c r="AQ27" i="35"/>
  <c r="AJ40" i="43"/>
  <c r="AF20" i="4" s="1"/>
  <c r="AN28" i="35"/>
  <c r="AQ28" i="35"/>
  <c r="AN27" i="35"/>
  <c r="AO28" i="35"/>
  <c r="I35" i="5"/>
  <c r="U36" i="35"/>
  <c r="W36" i="35" s="1"/>
  <c r="O36" i="35"/>
  <c r="Q36" i="35" s="1"/>
  <c r="AL40" i="35"/>
  <c r="K38" i="5" s="1"/>
  <c r="U35" i="35"/>
  <c r="W35" i="35" s="1"/>
  <c r="AH8" i="35"/>
  <c r="AR11" i="35"/>
  <c r="M10" i="5" s="1"/>
  <c r="AR34" i="35"/>
  <c r="M32" i="5" s="1"/>
  <c r="AN8" i="35"/>
  <c r="AR9" i="35"/>
  <c r="M8" i="5" s="1"/>
  <c r="AR13" i="35"/>
  <c r="M12" i="5" s="1"/>
  <c r="AO8" i="35"/>
  <c r="AR38" i="35"/>
  <c r="M36" i="5" s="1"/>
  <c r="AR36" i="35"/>
  <c r="M34" i="5" s="1"/>
  <c r="AI8" i="35"/>
  <c r="AO32" i="35"/>
  <c r="AP32" i="35"/>
  <c r="AQ32" i="35"/>
  <c r="AR40" i="35"/>
  <c r="M38" i="5" s="1"/>
  <c r="AR35" i="35"/>
  <c r="M33" i="5" s="1"/>
  <c r="AQ8" i="35"/>
  <c r="AR10" i="35"/>
  <c r="M9" i="5" s="1"/>
  <c r="I43" i="5"/>
  <c r="AR39" i="35"/>
  <c r="M37" i="5" s="1"/>
  <c r="AP8" i="35"/>
  <c r="AR33" i="35"/>
  <c r="M31" i="5" s="1"/>
  <c r="AN32" i="35"/>
  <c r="AA35" i="35"/>
  <c r="AC35" i="35" s="1"/>
  <c r="U38" i="35"/>
  <c r="W38" i="35" s="1"/>
  <c r="O38" i="35"/>
  <c r="Q38" i="35" s="1"/>
  <c r="AL36" i="35"/>
  <c r="K34" i="5" s="1"/>
  <c r="AK32" i="35"/>
  <c r="AD30" i="34"/>
  <c r="AE24" i="35"/>
  <c r="I28" i="5"/>
  <c r="AJ8" i="35"/>
  <c r="O33" i="35"/>
  <c r="Q33" i="35" s="1"/>
  <c r="AI32" i="35"/>
  <c r="AJ32" i="35"/>
  <c r="I29" i="5"/>
  <c r="AL9" i="35"/>
  <c r="AK8" i="35"/>
  <c r="AL34" i="35"/>
  <c r="K32" i="5" s="1"/>
  <c r="AL39" i="35"/>
  <c r="K37" i="5" s="1"/>
  <c r="Q29" i="35"/>
  <c r="I35" i="35"/>
  <c r="K35" i="35" s="1"/>
  <c r="H27" i="5"/>
  <c r="I27" i="5" s="1"/>
  <c r="AL13" i="35"/>
  <c r="K12" i="5" s="1"/>
  <c r="AL38" i="35"/>
  <c r="K36" i="5" s="1"/>
  <c r="AL10" i="35"/>
  <c r="K9" i="5" s="1"/>
  <c r="AL35" i="35"/>
  <c r="K33" i="5" s="1"/>
  <c r="AL11" i="35"/>
  <c r="K10" i="5" s="1"/>
  <c r="AL33" i="35"/>
  <c r="G14" i="5"/>
  <c r="AD29" i="35"/>
  <c r="G27" i="5" s="1"/>
  <c r="K59" i="35"/>
  <c r="H58" i="5"/>
  <c r="G48" i="5"/>
  <c r="I48" i="5" s="1"/>
  <c r="G42" i="5"/>
  <c r="I42" i="5" s="1"/>
  <c r="AL49" i="35"/>
  <c r="K47" i="5" s="1"/>
  <c r="I46" i="5"/>
  <c r="G44" i="5"/>
  <c r="I44" i="5" s="1"/>
  <c r="AL46" i="35"/>
  <c r="K44" i="5" s="1"/>
  <c r="G50" i="5"/>
  <c r="I50" i="5" s="1"/>
  <c r="I38" i="35"/>
  <c r="K38" i="35" s="1"/>
  <c r="M27" i="34"/>
  <c r="P27" i="34" s="1"/>
  <c r="R27" i="34" s="1"/>
  <c r="I39" i="35"/>
  <c r="K39" i="35" s="1"/>
  <c r="J34" i="34"/>
  <c r="L34" i="34" s="1"/>
  <c r="AA38" i="35"/>
  <c r="AC38" i="35" s="1"/>
  <c r="AA33" i="35"/>
  <c r="AC33" i="35" s="1"/>
  <c r="AL31" i="35"/>
  <c r="K29" i="5" s="1"/>
  <c r="K27" i="5" s="1"/>
  <c r="AU65" i="30"/>
  <c r="AR73" i="30"/>
  <c r="AR75" i="30" s="1"/>
  <c r="AR76" i="30" s="1"/>
  <c r="AO25" i="4" s="1" a="1"/>
  <c r="AO25" i="4" s="1"/>
  <c r="AP37" i="4" s="1"/>
  <c r="P33" i="34"/>
  <c r="R33" i="34" s="1"/>
  <c r="K27" i="3"/>
  <c r="K29" i="3" s="1"/>
  <c r="L26" i="3"/>
  <c r="M23" i="3" s="1"/>
  <c r="J18" i="3"/>
  <c r="I19" i="3"/>
  <c r="I21" i="3" s="1"/>
  <c r="AA34" i="35"/>
  <c r="AC34" i="35" s="1"/>
  <c r="F36" i="27"/>
  <c r="R36" i="27" s="1"/>
  <c r="J40" i="43"/>
  <c r="F20" i="4" s="1"/>
  <c r="AH59" i="35"/>
  <c r="I13" i="35"/>
  <c r="K13" i="35" s="1"/>
  <c r="U13" i="35"/>
  <c r="W13" i="35" s="1"/>
  <c r="S30" i="34"/>
  <c r="U30" i="34" s="1"/>
  <c r="Y31" i="34"/>
  <c r="Y27" i="34"/>
  <c r="R34" i="34"/>
  <c r="Y36" i="34"/>
  <c r="AC31" i="34"/>
  <c r="I33" i="35"/>
  <c r="K33" i="35" s="1"/>
  <c r="AD27" i="27"/>
  <c r="AD36" i="27" s="1"/>
  <c r="Z36" i="27"/>
  <c r="AC28" i="34"/>
  <c r="AD28" i="34" s="1"/>
  <c r="AD27" i="34" s="1"/>
  <c r="AD36" i="34" s="1"/>
  <c r="R31" i="27"/>
  <c r="O34" i="35"/>
  <c r="Q34" i="35" s="1"/>
  <c r="J31" i="34"/>
  <c r="L31" i="34" s="1"/>
  <c r="AC27" i="34"/>
  <c r="U34" i="35"/>
  <c r="W34" i="35" s="1"/>
  <c r="I34" i="35"/>
  <c r="R28" i="27"/>
  <c r="H27" i="34"/>
  <c r="H36" i="34" s="1"/>
  <c r="J28" i="34"/>
  <c r="AC36" i="34"/>
  <c r="S27" i="35"/>
  <c r="S25" i="35" s="1"/>
  <c r="Y40" i="43"/>
  <c r="U20" i="4" s="1"/>
  <c r="U40" i="43"/>
  <c r="Q20" i="4" s="1"/>
  <c r="AP40" i="43"/>
  <c r="AL20" i="4" s="1"/>
  <c r="Q40" i="43"/>
  <c r="N27" i="35"/>
  <c r="S40" i="43"/>
  <c r="AR40" i="43"/>
  <c r="AN20" i="4" s="1"/>
  <c r="AF40" i="43"/>
  <c r="AB20" i="4" s="1"/>
  <c r="X28" i="35"/>
  <c r="AA28" i="35" s="1"/>
  <c r="AC28" i="35" s="1"/>
  <c r="AS40" i="43"/>
  <c r="AO20" i="4" s="1"/>
  <c r="AQ40" i="43"/>
  <c r="AM20" i="4" s="1"/>
  <c r="N28" i="35"/>
  <c r="O40" i="43"/>
  <c r="T27" i="35"/>
  <c r="T25" i="35" s="1"/>
  <c r="AA40" i="43"/>
  <c r="W20" i="4" s="1"/>
  <c r="AK40" i="43"/>
  <c r="AG20" i="4" s="1"/>
  <c r="R40" i="43"/>
  <c r="Z25" i="35"/>
  <c r="L25" i="35"/>
  <c r="O13" i="35"/>
  <c r="Q13" i="35" s="1"/>
  <c r="AA13" i="35"/>
  <c r="AC13" i="35" s="1"/>
  <c r="AA26" i="35"/>
  <c r="U26" i="35"/>
  <c r="V26" i="35" s="1"/>
  <c r="AB26" i="35" l="1"/>
  <c r="P26" i="35"/>
  <c r="J26" i="35"/>
  <c r="AA23" i="35"/>
  <c r="AC23" i="35" s="1"/>
  <c r="AP20" i="35"/>
  <c r="I34" i="3"/>
  <c r="U23" i="35"/>
  <c r="W23" i="35" s="1"/>
  <c r="K25" i="4" a="1"/>
  <c r="K25" i="4" s="1"/>
  <c r="U25" i="4" a="1"/>
  <c r="U25" i="4" s="1"/>
  <c r="V37" i="4" s="1"/>
  <c r="V44" i="4" s="1"/>
  <c r="H25" i="4" a="1"/>
  <c r="H25" i="4" s="1"/>
  <c r="L25" i="4" a="1"/>
  <c r="L25" i="4" s="1"/>
  <c r="M25" i="4" a="1"/>
  <c r="M25" i="4" s="1"/>
  <c r="G25" i="4" a="1"/>
  <c r="G25" i="4" s="1"/>
  <c r="T25" i="4" a="1"/>
  <c r="T25" i="4" s="1"/>
  <c r="U37" i="4" s="1"/>
  <c r="U44" i="4" s="1"/>
  <c r="AA27" i="35"/>
  <c r="I27" i="35"/>
  <c r="AQ44" i="4"/>
  <c r="AN44" i="4"/>
  <c r="AP44" i="4"/>
  <c r="AA44" i="4"/>
  <c r="Z44" i="4"/>
  <c r="AK20" i="35"/>
  <c r="AJ20" i="35"/>
  <c r="AJ24" i="35" s="1"/>
  <c r="AN20" i="35"/>
  <c r="AD36" i="35"/>
  <c r="G34" i="5" s="1"/>
  <c r="AL14" i="35"/>
  <c r="K13" i="5" s="1"/>
  <c r="AQ20" i="35"/>
  <c r="AQ24" i="35" s="1"/>
  <c r="AR14" i="35"/>
  <c r="M13" i="5" s="1"/>
  <c r="M18" i="5" s="1"/>
  <c r="AI20" i="35"/>
  <c r="AO20" i="35"/>
  <c r="AO24" i="35" s="1"/>
  <c r="H34" i="5"/>
  <c r="I23" i="35"/>
  <c r="K23" i="35" s="1"/>
  <c r="AD44" i="4"/>
  <c r="AC33" i="34"/>
  <c r="AD33" i="34" s="1"/>
  <c r="AR23" i="35"/>
  <c r="M21" i="5" s="1"/>
  <c r="R33" i="27"/>
  <c r="J33" i="34"/>
  <c r="L33" i="34" s="1"/>
  <c r="AG44" i="4"/>
  <c r="AP21" i="35"/>
  <c r="AH44" i="4"/>
  <c r="T44" i="4"/>
  <c r="X44" i="4"/>
  <c r="AI21" i="35"/>
  <c r="AC44" i="4"/>
  <c r="AK21" i="35"/>
  <c r="AL23" i="35"/>
  <c r="K21" i="5" s="1"/>
  <c r="AI25" i="35"/>
  <c r="L20" i="4"/>
  <c r="AL26" i="35"/>
  <c r="K24" i="5" s="1"/>
  <c r="S20" i="4"/>
  <c r="AK25" i="35"/>
  <c r="AR26" i="35"/>
  <c r="M24" i="5" s="1"/>
  <c r="AL28" i="35"/>
  <c r="K26" i="5" s="1"/>
  <c r="AO25" i="35"/>
  <c r="O27" i="35"/>
  <c r="AP25" i="35"/>
  <c r="AL27" i="35"/>
  <c r="K25" i="5" s="1"/>
  <c r="F25" i="35"/>
  <c r="P20" i="4"/>
  <c r="AJ25" i="35"/>
  <c r="H33" i="5"/>
  <c r="J36" i="34"/>
  <c r="L36" i="34" s="1"/>
  <c r="I7" i="3"/>
  <c r="I10" i="3" s="1"/>
  <c r="J7" i="3" s="1"/>
  <c r="H11" i="3"/>
  <c r="H13" i="3" s="1"/>
  <c r="H38" i="3" s="1"/>
  <c r="G51" i="35" s="1"/>
  <c r="G54" i="35" s="1"/>
  <c r="K12" i="35"/>
  <c r="AD12" i="35"/>
  <c r="G11" i="5" s="1"/>
  <c r="H11" i="5"/>
  <c r="I11" i="5" s="1"/>
  <c r="AQ25" i="35"/>
  <c r="M30" i="5"/>
  <c r="AR27" i="35"/>
  <c r="M25" i="5" s="1"/>
  <c r="AN25" i="35"/>
  <c r="AR28" i="35"/>
  <c r="M26" i="5" s="1"/>
  <c r="AD39" i="35"/>
  <c r="G37" i="5" s="1"/>
  <c r="AR8" i="35"/>
  <c r="H37" i="5"/>
  <c r="AR32" i="35"/>
  <c r="M36" i="34"/>
  <c r="P36" i="34" s="1"/>
  <c r="R36" i="34" s="1"/>
  <c r="AD35" i="35"/>
  <c r="G33" i="5" s="1"/>
  <c r="AL32" i="35"/>
  <c r="K31" i="5"/>
  <c r="S34" i="34"/>
  <c r="U34" i="34" s="1"/>
  <c r="J19" i="3"/>
  <c r="J21" i="3" s="1"/>
  <c r="K15" i="3"/>
  <c r="K18" i="3" s="1"/>
  <c r="L15" i="3" s="1"/>
  <c r="AL15" i="35"/>
  <c r="K14" i="5" s="1"/>
  <c r="H36" i="5"/>
  <c r="K8" i="5"/>
  <c r="AL8" i="35"/>
  <c r="AD38" i="35"/>
  <c r="G36" i="5" s="1"/>
  <c r="AL44" i="35"/>
  <c r="K42" i="5" s="1"/>
  <c r="AL50" i="35"/>
  <c r="K48" i="5" s="1"/>
  <c r="L27" i="3"/>
  <c r="L29" i="3" s="1"/>
  <c r="M26" i="3"/>
  <c r="N23" i="3" s="1"/>
  <c r="F44" i="27"/>
  <c r="F49" i="27" s="1"/>
  <c r="AD31" i="34"/>
  <c r="K58" i="5"/>
  <c r="O50" i="42"/>
  <c r="L50" i="42"/>
  <c r="F50" i="42"/>
  <c r="M50" i="42"/>
  <c r="P50" i="42"/>
  <c r="J50" i="42"/>
  <c r="G50" i="42"/>
  <c r="H12" i="5"/>
  <c r="I12" i="5" s="1"/>
  <c r="N50" i="42"/>
  <c r="AD33" i="35"/>
  <c r="S31" i="34"/>
  <c r="U31" i="34" s="1"/>
  <c r="AD34" i="35"/>
  <c r="K34" i="35"/>
  <c r="H32" i="5"/>
  <c r="L28" i="34"/>
  <c r="S28" i="34"/>
  <c r="G49" i="34"/>
  <c r="J49" i="34" s="1"/>
  <c r="L49" i="34" s="1"/>
  <c r="J44" i="34"/>
  <c r="L44" i="34" s="1"/>
  <c r="AU41" i="43"/>
  <c r="U41" i="43"/>
  <c r="M20" i="4"/>
  <c r="N25" i="35"/>
  <c r="O28" i="35"/>
  <c r="AD28" i="35" s="1"/>
  <c r="G26" i="5" s="1"/>
  <c r="X25" i="35"/>
  <c r="AH41" i="43"/>
  <c r="AH42" i="43" s="1"/>
  <c r="O20" i="4"/>
  <c r="U27" i="35"/>
  <c r="K20" i="4"/>
  <c r="N20" i="4"/>
  <c r="K50" i="42"/>
  <c r="E50" i="42"/>
  <c r="E84" i="42" s="1"/>
  <c r="F7" i="4" s="1" a="1"/>
  <c r="F7" i="4" s="1"/>
  <c r="I50" i="42"/>
  <c r="H50" i="42"/>
  <c r="AD13" i="35"/>
  <c r="AD26" i="35"/>
  <c r="W26" i="35"/>
  <c r="H31" i="5" l="1"/>
  <c r="AE26" i="35"/>
  <c r="AF26" i="35"/>
  <c r="G24" i="5"/>
  <c r="AB27" i="35"/>
  <c r="AB25" i="35" s="1"/>
  <c r="AB43" i="35" s="1"/>
  <c r="AB56" i="35" s="1"/>
  <c r="AB61" i="35" s="1"/>
  <c r="AB65" i="35" s="1"/>
  <c r="AC26" i="35"/>
  <c r="V27" i="35"/>
  <c r="V25" i="35" s="1"/>
  <c r="V43" i="35" s="1"/>
  <c r="V56" i="35" s="1"/>
  <c r="V61" i="35" s="1"/>
  <c r="V65" i="35" s="1"/>
  <c r="P27" i="35"/>
  <c r="Q27" i="35" s="1"/>
  <c r="Q26" i="35"/>
  <c r="J27" i="35"/>
  <c r="K26" i="35"/>
  <c r="AP24" i="35"/>
  <c r="AP43" i="35" s="1"/>
  <c r="H21" i="5"/>
  <c r="I21" i="5" s="1"/>
  <c r="I34" i="5"/>
  <c r="AD23" i="35"/>
  <c r="G21" i="5" s="1"/>
  <c r="AK24" i="35"/>
  <c r="AK43" i="35" s="1"/>
  <c r="S9" i="35"/>
  <c r="S14" i="35" s="1"/>
  <c r="L84" i="42"/>
  <c r="M7" i="4" s="1" a="1"/>
  <c r="M7" i="4" s="1"/>
  <c r="R9" i="35"/>
  <c r="R14" i="35" s="1"/>
  <c r="K84" i="42"/>
  <c r="L7" i="4" s="1" a="1"/>
  <c r="L7" i="4" s="1"/>
  <c r="H9" i="35"/>
  <c r="H14" i="35" s="1"/>
  <c r="G84" i="42"/>
  <c r="H7" i="4" s="1" a="1"/>
  <c r="H7" i="4" s="1"/>
  <c r="X9" i="35"/>
  <c r="X14" i="35" s="1"/>
  <c r="N84" i="42"/>
  <c r="O7" i="4" s="1" a="1"/>
  <c r="O7" i="4" s="1"/>
  <c r="N9" i="35"/>
  <c r="N14" i="35" s="1"/>
  <c r="J84" i="42"/>
  <c r="K7" i="4" s="1" a="1"/>
  <c r="K7" i="4" s="1"/>
  <c r="L9" i="35"/>
  <c r="L14" i="35" s="1"/>
  <c r="H84" i="42"/>
  <c r="I7" i="4" s="1" a="1"/>
  <c r="I7" i="4" s="1"/>
  <c r="G9" i="35"/>
  <c r="G14" i="35" s="1"/>
  <c r="F84" i="42"/>
  <c r="G7" i="4" s="1" a="1"/>
  <c r="G7" i="4" s="1"/>
  <c r="M9" i="35"/>
  <c r="M14" i="35" s="1"/>
  <c r="I84" i="42"/>
  <c r="J7" i="4" s="1" a="1"/>
  <c r="J7" i="4" s="1"/>
  <c r="Y9" i="35"/>
  <c r="Y14" i="35" s="1"/>
  <c r="O84" i="42"/>
  <c r="P7" i="4" s="1" a="1"/>
  <c r="P7" i="4" s="1"/>
  <c r="Z9" i="35"/>
  <c r="Z14" i="35" s="1"/>
  <c r="P84" i="42"/>
  <c r="Q7" i="4" s="1" a="1"/>
  <c r="Q7" i="4" s="1"/>
  <c r="T9" i="35"/>
  <c r="T14" i="35" s="1"/>
  <c r="M84" i="42"/>
  <c r="N7" i="4" s="1" a="1"/>
  <c r="N7" i="4" s="1"/>
  <c r="I35" i="3"/>
  <c r="I37" i="3" s="1"/>
  <c r="J31" i="3" s="1"/>
  <c r="M27" i="3"/>
  <c r="M29" i="3" s="1"/>
  <c r="I25" i="35"/>
  <c r="AA25" i="35"/>
  <c r="AR20" i="35"/>
  <c r="AI24" i="35"/>
  <c r="AI43" i="35" s="1"/>
  <c r="AQ43" i="35"/>
  <c r="I11" i="3"/>
  <c r="I13" i="3" s="1"/>
  <c r="AO43" i="35"/>
  <c r="S33" i="34"/>
  <c r="U33" i="34" s="1"/>
  <c r="AJ43" i="35"/>
  <c r="F9" i="35"/>
  <c r="F14" i="35" s="1"/>
  <c r="AR22" i="35"/>
  <c r="M20" i="5" s="1"/>
  <c r="M19" i="5" s="1"/>
  <c r="M22" i="5" s="1"/>
  <c r="AN21" i="35"/>
  <c r="AL22" i="35"/>
  <c r="K20" i="5" s="1"/>
  <c r="M23" i="5"/>
  <c r="AL25" i="35"/>
  <c r="I33" i="5"/>
  <c r="G21" i="4"/>
  <c r="H41" i="34"/>
  <c r="H42" i="34" s="1"/>
  <c r="H44" i="34" s="1"/>
  <c r="H49" i="34" s="1"/>
  <c r="G41" i="27"/>
  <c r="G42" i="27" s="1"/>
  <c r="G44" i="27" s="1"/>
  <c r="G49" i="27" s="1"/>
  <c r="I37" i="5"/>
  <c r="AR25" i="35"/>
  <c r="AL20" i="35"/>
  <c r="I36" i="5"/>
  <c r="N26" i="3"/>
  <c r="O23" i="3" s="1"/>
  <c r="L18" i="3"/>
  <c r="M15" i="3" s="1"/>
  <c r="K19" i="3"/>
  <c r="K21" i="3" s="1"/>
  <c r="M8" i="35"/>
  <c r="X8" i="35"/>
  <c r="I10" i="35"/>
  <c r="K10" i="35" s="1"/>
  <c r="G12" i="5"/>
  <c r="G31" i="5"/>
  <c r="G32" i="5"/>
  <c r="I32" i="5" s="1"/>
  <c r="U28" i="34"/>
  <c r="S27" i="34"/>
  <c r="H26" i="5"/>
  <c r="I26" i="5" s="1"/>
  <c r="O25" i="35"/>
  <c r="Q28" i="35"/>
  <c r="U25" i="35"/>
  <c r="AD27" i="35"/>
  <c r="G25" i="5" s="1"/>
  <c r="AA10" i="35"/>
  <c r="AC10" i="35" s="1"/>
  <c r="O10" i="35"/>
  <c r="Q10" i="35" s="1"/>
  <c r="U10" i="35"/>
  <c r="W10" i="35" s="1"/>
  <c r="H24" i="5" l="1"/>
  <c r="I24" i="5" s="1"/>
  <c r="AE27" i="35"/>
  <c r="AE25" i="35" s="1"/>
  <c r="AF27" i="35"/>
  <c r="H25" i="5" s="1"/>
  <c r="I25" i="5" s="1"/>
  <c r="AD25" i="35"/>
  <c r="G23" i="5" s="1"/>
  <c r="W25" i="35"/>
  <c r="AC27" i="35"/>
  <c r="W27" i="35"/>
  <c r="AC25" i="35"/>
  <c r="P25" i="35"/>
  <c r="P43" i="35" s="1"/>
  <c r="P56" i="35" s="1"/>
  <c r="P61" i="35" s="1"/>
  <c r="P65" i="35" s="1"/>
  <c r="J25" i="35"/>
  <c r="K25" i="35" s="1"/>
  <c r="K27" i="35"/>
  <c r="H8" i="35"/>
  <c r="S8" i="35"/>
  <c r="U9" i="35"/>
  <c r="W9" i="35" s="1"/>
  <c r="Z8" i="35"/>
  <c r="L8" i="35"/>
  <c r="G8" i="35"/>
  <c r="R8" i="35"/>
  <c r="N8" i="35"/>
  <c r="O9" i="35"/>
  <c r="Q9" i="35" s="1"/>
  <c r="T8" i="35"/>
  <c r="Y8" i="35"/>
  <c r="AA9" i="35"/>
  <c r="AC9" i="35" s="1"/>
  <c r="J34" i="3"/>
  <c r="J35" i="3" s="1"/>
  <c r="J37" i="3" s="1"/>
  <c r="I38" i="3"/>
  <c r="I41" i="34" s="1"/>
  <c r="F8" i="35"/>
  <c r="I9" i="35"/>
  <c r="K9" i="35" s="1"/>
  <c r="M41" i="5"/>
  <c r="AN24" i="35"/>
  <c r="AN43" i="35" s="1"/>
  <c r="AR21" i="35"/>
  <c r="AR24" i="35" s="1"/>
  <c r="AR43" i="35" s="1"/>
  <c r="J10" i="3"/>
  <c r="K7" i="3" s="1"/>
  <c r="N27" i="3"/>
  <c r="N29" i="3" s="1"/>
  <c r="O26" i="3"/>
  <c r="P23" i="3" s="1"/>
  <c r="L19" i="3"/>
  <c r="L21" i="3" s="1"/>
  <c r="AA11" i="35"/>
  <c r="AC11" i="35" s="1"/>
  <c r="I31" i="5"/>
  <c r="U27" i="34"/>
  <c r="S36" i="34"/>
  <c r="H9" i="5"/>
  <c r="I9" i="5" s="1"/>
  <c r="AD10" i="35"/>
  <c r="G9" i="5" s="1"/>
  <c r="AF25" i="35" l="1"/>
  <c r="H23" i="5" s="1"/>
  <c r="I23" i="5" s="1"/>
  <c r="Q25" i="35"/>
  <c r="J43" i="35"/>
  <c r="J56" i="35" s="1"/>
  <c r="O8" i="35"/>
  <c r="Q8" i="35" s="1"/>
  <c r="I8" i="35"/>
  <c r="K8" i="35" s="1"/>
  <c r="AA8" i="35"/>
  <c r="AC8" i="35" s="1"/>
  <c r="U8" i="35"/>
  <c r="W8" i="35" s="1"/>
  <c r="H8" i="5"/>
  <c r="I8" i="5" s="1"/>
  <c r="AD9" i="35"/>
  <c r="G8" i="5" s="1"/>
  <c r="I42" i="34"/>
  <c r="J41" i="34"/>
  <c r="H21" i="4"/>
  <c r="H51" i="35"/>
  <c r="H41" i="27"/>
  <c r="H42" i="27" s="1"/>
  <c r="H44" i="27" s="1"/>
  <c r="H49" i="27" s="1"/>
  <c r="K31" i="3"/>
  <c r="O30" i="4"/>
  <c r="M18" i="3"/>
  <c r="N15" i="3" s="1"/>
  <c r="J11" i="3"/>
  <c r="J13" i="3" s="1"/>
  <c r="J38" i="3" s="1"/>
  <c r="P26" i="3"/>
  <c r="Q23" i="3" s="1"/>
  <c r="O27" i="3"/>
  <c r="O29" i="3" s="1"/>
  <c r="Y22" i="35"/>
  <c r="M101" i="42"/>
  <c r="G101" i="42"/>
  <c r="N101" i="42"/>
  <c r="L101" i="42"/>
  <c r="R22" i="35"/>
  <c r="R21" i="35" s="1"/>
  <c r="G22" i="35"/>
  <c r="G21" i="35" s="1"/>
  <c r="U36" i="34"/>
  <c r="AH25" i="35"/>
  <c r="AD11" i="35"/>
  <c r="H10" i="5"/>
  <c r="I10" i="5" s="1"/>
  <c r="G20" i="35"/>
  <c r="K23" i="5"/>
  <c r="AE56" i="35" l="1"/>
  <c r="AF56" i="35"/>
  <c r="AE43" i="35"/>
  <c r="J61" i="35"/>
  <c r="I21" i="4"/>
  <c r="L51" i="35"/>
  <c r="L54" i="35" s="1"/>
  <c r="AD8" i="35"/>
  <c r="G7" i="5" s="1"/>
  <c r="H7" i="5"/>
  <c r="I7" i="5" s="1"/>
  <c r="H40" i="35"/>
  <c r="H32" i="35" s="1"/>
  <c r="H26" i="4" a="1"/>
  <c r="H26" i="4" s="1"/>
  <c r="I37" i="4" s="1"/>
  <c r="T40" i="35"/>
  <c r="T32" i="35" s="1"/>
  <c r="N26" i="4" a="1"/>
  <c r="N26" i="4" s="1"/>
  <c r="O37" i="4" s="1"/>
  <c r="S40" i="35"/>
  <c r="S32" i="35" s="1"/>
  <c r="M26" i="4" a="1"/>
  <c r="M26" i="4" s="1"/>
  <c r="N37" i="4" s="1"/>
  <c r="X40" i="35"/>
  <c r="X32" i="35" s="1"/>
  <c r="O26" i="4" a="1"/>
  <c r="O26" i="4" s="1"/>
  <c r="P37" i="4" s="1"/>
  <c r="H54" i="35"/>
  <c r="I51" i="35"/>
  <c r="K34" i="3"/>
  <c r="K35" i="3" s="1"/>
  <c r="K37" i="3" s="1"/>
  <c r="I44" i="34"/>
  <c r="I49" i="34" s="1"/>
  <c r="J42" i="34"/>
  <c r="R20" i="35"/>
  <c r="R24" i="35" s="1"/>
  <c r="S20" i="35"/>
  <c r="X20" i="35"/>
  <c r="H20" i="35"/>
  <c r="M20" i="35"/>
  <c r="I14" i="35"/>
  <c r="P27" i="3"/>
  <c r="P29" i="3" s="1"/>
  <c r="L20" i="35"/>
  <c r="N20" i="35"/>
  <c r="Z20" i="35"/>
  <c r="Y20" i="35"/>
  <c r="Y24" i="35" s="1"/>
  <c r="T20" i="35"/>
  <c r="I101" i="42"/>
  <c r="F101" i="42"/>
  <c r="O101" i="42"/>
  <c r="G24" i="35"/>
  <c r="T22" i="35"/>
  <c r="T21" i="35" s="1"/>
  <c r="M19" i="3"/>
  <c r="M21" i="3" s="1"/>
  <c r="I41" i="27"/>
  <c r="I42" i="27" s="1"/>
  <c r="I44" i="27" s="1"/>
  <c r="I49" i="27" s="1"/>
  <c r="M41" i="34"/>
  <c r="M42" i="34" s="1"/>
  <c r="M44" i="34" s="1"/>
  <c r="P44" i="34" s="1"/>
  <c r="R44" i="34" s="1"/>
  <c r="K9" i="3"/>
  <c r="K39" i="3" s="1"/>
  <c r="J27" i="4" s="1"/>
  <c r="Q26" i="3"/>
  <c r="R23" i="3" s="1"/>
  <c r="K101" i="42"/>
  <c r="X22" i="35"/>
  <c r="X21" i="35" s="1"/>
  <c r="P101" i="42"/>
  <c r="Z22" i="35"/>
  <c r="Z21" i="35" s="1"/>
  <c r="L22" i="35"/>
  <c r="L21" i="35" s="1"/>
  <c r="H101" i="42"/>
  <c r="M22" i="35"/>
  <c r="J101" i="42"/>
  <c r="G30" i="4"/>
  <c r="F20" i="35"/>
  <c r="E101" i="42"/>
  <c r="F26" i="4" s="1" a="1"/>
  <c r="F26" i="4" s="1"/>
  <c r="G37" i="4" s="1"/>
  <c r="G10" i="5"/>
  <c r="L30" i="4"/>
  <c r="Y21" i="35"/>
  <c r="AE61" i="35" l="1"/>
  <c r="AF61" i="35"/>
  <c r="J65" i="35"/>
  <c r="AE65" i="35" s="1"/>
  <c r="N40" i="35"/>
  <c r="N32" i="35" s="1"/>
  <c r="K26" i="4" a="1"/>
  <c r="K26" i="4" s="1"/>
  <c r="L37" i="4" s="1"/>
  <c r="L44" i="4" s="1"/>
  <c r="R40" i="35"/>
  <c r="R32" i="35" s="1"/>
  <c r="R43" i="35" s="1"/>
  <c r="L26" i="4" a="1"/>
  <c r="L26" i="4" s="1"/>
  <c r="M37" i="4" s="1"/>
  <c r="M44" i="4" s="1"/>
  <c r="H31" i="4"/>
  <c r="L40" i="35"/>
  <c r="L32" i="35" s="1"/>
  <c r="I26" i="4" a="1"/>
  <c r="I26" i="4" s="1"/>
  <c r="J37" i="4" s="1"/>
  <c r="Y40" i="35"/>
  <c r="Y32" i="35" s="1"/>
  <c r="Y43" i="35" s="1"/>
  <c r="P26" i="4" a="1"/>
  <c r="P26" i="4" s="1"/>
  <c r="Q37" i="4" s="1"/>
  <c r="Q44" i="4" s="1"/>
  <c r="G40" i="35"/>
  <c r="G32" i="35" s="1"/>
  <c r="G43" i="35" s="1"/>
  <c r="G56" i="35" s="1"/>
  <c r="G61" i="35" s="1"/>
  <c r="G65" i="35" s="1"/>
  <c r="G26" i="4" a="1"/>
  <c r="G26" i="4" s="1"/>
  <c r="Z40" i="35"/>
  <c r="Z32" i="35" s="1"/>
  <c r="Q26" i="4" a="1"/>
  <c r="Q26" i="4" s="1"/>
  <c r="S37" i="4" s="1"/>
  <c r="S44" i="4" s="1"/>
  <c r="M40" i="35"/>
  <c r="M32" i="35" s="1"/>
  <c r="J26" i="4" a="1"/>
  <c r="J26" i="4" s="1"/>
  <c r="K37" i="4" s="1"/>
  <c r="K44" i="4" s="1"/>
  <c r="L31" i="3"/>
  <c r="I54" i="35"/>
  <c r="K54" i="35" s="1"/>
  <c r="K51" i="35"/>
  <c r="M24" i="35"/>
  <c r="O14" i="35"/>
  <c r="AA14" i="35"/>
  <c r="AA20" i="35" s="1"/>
  <c r="AC20" i="35" s="1"/>
  <c r="U14" i="35"/>
  <c r="F22" i="35"/>
  <c r="F21" i="35" s="1"/>
  <c r="H22" i="35"/>
  <c r="H24" i="35" s="1"/>
  <c r="H43" i="35" s="1"/>
  <c r="H56" i="35" s="1"/>
  <c r="H61" i="35" s="1"/>
  <c r="H65" i="35" s="1"/>
  <c r="O44" i="4"/>
  <c r="T24" i="35"/>
  <c r="T43" i="35" s="1"/>
  <c r="H30" i="4"/>
  <c r="I44" i="4"/>
  <c r="N30" i="4"/>
  <c r="K30" i="4"/>
  <c r="I30" i="4"/>
  <c r="Q30" i="4"/>
  <c r="J30" i="4"/>
  <c r="P30" i="4"/>
  <c r="M30" i="4"/>
  <c r="N44" i="4"/>
  <c r="F30" i="4"/>
  <c r="K10" i="3"/>
  <c r="N18" i="3"/>
  <c r="O15" i="3" s="1"/>
  <c r="M49" i="34"/>
  <c r="P49" i="34" s="1"/>
  <c r="R49" i="34" s="1"/>
  <c r="R26" i="3"/>
  <c r="T23" i="3" s="1"/>
  <c r="Q27" i="3"/>
  <c r="Q29" i="3" s="1"/>
  <c r="S22" i="35"/>
  <c r="U22" i="35" s="1"/>
  <c r="W22" i="35" s="1"/>
  <c r="X24" i="35"/>
  <c r="X43" i="35" s="1"/>
  <c r="N22" i="35"/>
  <c r="N21" i="35" s="1"/>
  <c r="AA22" i="35"/>
  <c r="AC22" i="35" s="1"/>
  <c r="Z24" i="35"/>
  <c r="L24" i="35"/>
  <c r="F31" i="4"/>
  <c r="M21" i="35"/>
  <c r="I20" i="35"/>
  <c r="K14" i="35"/>
  <c r="F40" i="35"/>
  <c r="AE63" i="35" l="1"/>
  <c r="AE64" i="35" s="1"/>
  <c r="AE62" i="35"/>
  <c r="U40" i="35"/>
  <c r="U32" i="35" s="1"/>
  <c r="AA40" i="35"/>
  <c r="AC40" i="35" s="1"/>
  <c r="O40" i="35"/>
  <c r="Q40" i="35" s="1"/>
  <c r="L43" i="35"/>
  <c r="M43" i="35"/>
  <c r="H33" i="4"/>
  <c r="Z43" i="35"/>
  <c r="H37" i="4"/>
  <c r="H44" i="4" s="1"/>
  <c r="G31" i="4"/>
  <c r="G33" i="4" s="1"/>
  <c r="L34" i="3"/>
  <c r="L35" i="3"/>
  <c r="L37" i="3" s="1"/>
  <c r="AC14" i="35"/>
  <c r="H13" i="5"/>
  <c r="I13" i="5" s="1"/>
  <c r="F24" i="35"/>
  <c r="O20" i="35"/>
  <c r="Q20" i="35" s="1"/>
  <c r="Q14" i="35"/>
  <c r="AD14" i="35"/>
  <c r="G13" i="5" s="1"/>
  <c r="U20" i="35"/>
  <c r="W20" i="35" s="1"/>
  <c r="W14" i="35"/>
  <c r="N19" i="3"/>
  <c r="N21" i="3" s="1"/>
  <c r="W40" i="35"/>
  <c r="W32" i="35"/>
  <c r="AA32" i="35"/>
  <c r="AC32" i="35" s="1"/>
  <c r="I22" i="35"/>
  <c r="K22" i="35" s="1"/>
  <c r="H21" i="35"/>
  <c r="AA21" i="35"/>
  <c r="R27" i="3"/>
  <c r="R29" i="3" s="1"/>
  <c r="J44" i="4"/>
  <c r="G44" i="4"/>
  <c r="F33" i="4"/>
  <c r="F34" i="4" s="1"/>
  <c r="K11" i="3"/>
  <c r="K13" i="3" s="1"/>
  <c r="K38" i="3" s="1"/>
  <c r="M51" i="35" s="1"/>
  <c r="M54" i="35" s="1"/>
  <c r="L7" i="3"/>
  <c r="O18" i="3"/>
  <c r="P15" i="3" s="1"/>
  <c r="N24" i="35"/>
  <c r="N43" i="35" s="1"/>
  <c r="T26" i="3"/>
  <c r="U23" i="3" s="1"/>
  <c r="U21" i="35"/>
  <c r="W21" i="35" s="1"/>
  <c r="O22" i="35"/>
  <c r="Q22" i="35" s="1"/>
  <c r="S24" i="35"/>
  <c r="S21" i="35"/>
  <c r="P44" i="4"/>
  <c r="K7" i="5"/>
  <c r="K20" i="35"/>
  <c r="AA24" i="35"/>
  <c r="I31" i="4"/>
  <c r="I33" i="4" s="1"/>
  <c r="I46" i="4" s="1"/>
  <c r="I40" i="35"/>
  <c r="F32" i="35"/>
  <c r="M56" i="35" l="1"/>
  <c r="M61" i="35" s="1"/>
  <c r="M65" i="35" s="1"/>
  <c r="L56" i="35"/>
  <c r="L61" i="35" s="1"/>
  <c r="L65" i="35" s="1"/>
  <c r="O32" i="35"/>
  <c r="Q32" i="35" s="1"/>
  <c r="H46" i="4"/>
  <c r="G34" i="4"/>
  <c r="H34" i="4" s="1"/>
  <c r="I34" i="4" s="1"/>
  <c r="G46" i="4"/>
  <c r="M31" i="3"/>
  <c r="H18" i="5"/>
  <c r="F43" i="35"/>
  <c r="F56" i="35" s="1"/>
  <c r="F61" i="35" s="1"/>
  <c r="F65" i="35" s="1"/>
  <c r="AD20" i="35"/>
  <c r="G18" i="5" s="1"/>
  <c r="J41" i="27"/>
  <c r="J42" i="27" s="1"/>
  <c r="J44" i="27" s="1"/>
  <c r="J49" i="27" s="1"/>
  <c r="J21" i="4"/>
  <c r="J31" i="4" s="1"/>
  <c r="J33" i="4" s="1"/>
  <c r="J46" i="4" s="1"/>
  <c r="N41" i="34"/>
  <c r="N42" i="34" s="1"/>
  <c r="AA43" i="35"/>
  <c r="AC43" i="35" s="1"/>
  <c r="AC21" i="35"/>
  <c r="F46" i="4"/>
  <c r="F47" i="4" s="1"/>
  <c r="I21" i="35"/>
  <c r="O19" i="3"/>
  <c r="O21" i="3" s="1"/>
  <c r="O24" i="35"/>
  <c r="Q24" i="35" s="1"/>
  <c r="H20" i="5"/>
  <c r="I20" i="5" s="1"/>
  <c r="AD22" i="35"/>
  <c r="G20" i="5" s="1"/>
  <c r="AC24" i="35"/>
  <c r="L10" i="3"/>
  <c r="M7" i="3" s="1"/>
  <c r="T27" i="3"/>
  <c r="T29" i="3" s="1"/>
  <c r="U26" i="3"/>
  <c r="V23" i="3" s="1"/>
  <c r="O21" i="35"/>
  <c r="S43" i="35"/>
  <c r="U24" i="35"/>
  <c r="M7" i="5"/>
  <c r="AH21" i="35"/>
  <c r="AH20" i="35"/>
  <c r="K18" i="5"/>
  <c r="K40" i="35"/>
  <c r="I32" i="35"/>
  <c r="AD40" i="35"/>
  <c r="K19" i="5"/>
  <c r="H38" i="5" l="1"/>
  <c r="AF32" i="35"/>
  <c r="H30" i="5" s="1"/>
  <c r="M34" i="3"/>
  <c r="G47" i="4"/>
  <c r="H47" i="4" s="1"/>
  <c r="I47" i="4" s="1"/>
  <c r="J47" i="4" s="1"/>
  <c r="I18" i="5"/>
  <c r="J34" i="4"/>
  <c r="H19" i="5"/>
  <c r="I19" i="5" s="1"/>
  <c r="K21" i="35"/>
  <c r="I24" i="35"/>
  <c r="I43" i="35" s="1"/>
  <c r="G19" i="5"/>
  <c r="AL21" i="35"/>
  <c r="AL24" i="35" s="1"/>
  <c r="AL43" i="35" s="1"/>
  <c r="O43" i="35"/>
  <c r="Q43" i="35" s="1"/>
  <c r="P18" i="3"/>
  <c r="Q15" i="3" s="1"/>
  <c r="Q21" i="35"/>
  <c r="N44" i="34"/>
  <c r="N49" i="34" s="1"/>
  <c r="L11" i="3"/>
  <c r="L13" i="3" s="1"/>
  <c r="L38" i="3" s="1"/>
  <c r="N51" i="35" s="1"/>
  <c r="N54" i="35" s="1"/>
  <c r="N56" i="35" s="1"/>
  <c r="V26" i="3"/>
  <c r="W23" i="3" s="1"/>
  <c r="U27" i="3"/>
  <c r="U29" i="3" s="1"/>
  <c r="W24" i="35"/>
  <c r="U43" i="35"/>
  <c r="AH24" i="35"/>
  <c r="K22" i="5"/>
  <c r="G38" i="5"/>
  <c r="I38" i="5" s="1"/>
  <c r="K32" i="35"/>
  <c r="G30" i="5"/>
  <c r="I30" i="5" l="1"/>
  <c r="M35" i="3"/>
  <c r="M37" i="3" s="1"/>
  <c r="N31" i="3" s="1"/>
  <c r="K24" i="35"/>
  <c r="AD24" i="35"/>
  <c r="G22" i="5" s="1"/>
  <c r="AF24" i="35"/>
  <c r="H22" i="5" s="1"/>
  <c r="P19" i="3"/>
  <c r="P21" i="3" s="1"/>
  <c r="O41" i="34"/>
  <c r="K41" i="27"/>
  <c r="K42" i="27" s="1"/>
  <c r="K44" i="27" s="1"/>
  <c r="K49" i="27" s="1"/>
  <c r="K21" i="4"/>
  <c r="K31" i="4" s="1"/>
  <c r="K33" i="4" s="1"/>
  <c r="W26" i="3"/>
  <c r="Y23" i="3" s="1"/>
  <c r="V27" i="3"/>
  <c r="V29" i="3" s="1"/>
  <c r="W43" i="35"/>
  <c r="I56" i="35"/>
  <c r="K43" i="35"/>
  <c r="AD43" i="35"/>
  <c r="G41" i="5" s="1"/>
  <c r="AF43" i="35"/>
  <c r="H41" i="5" s="1"/>
  <c r="K30" i="5"/>
  <c r="K41" i="5" s="1"/>
  <c r="AH32" i="35"/>
  <c r="N34" i="3" l="1"/>
  <c r="N35" i="3" s="1"/>
  <c r="N37" i="3" s="1"/>
  <c r="W27" i="3"/>
  <c r="W29" i="3" s="1"/>
  <c r="I22" i="5"/>
  <c r="Q18" i="3"/>
  <c r="R15" i="3" s="1"/>
  <c r="M10" i="3"/>
  <c r="K46" i="4"/>
  <c r="K47" i="4" s="1"/>
  <c r="K34" i="4"/>
  <c r="N61" i="35"/>
  <c r="N65" i="35" s="1"/>
  <c r="O51" i="35"/>
  <c r="O54" i="35" s="1"/>
  <c r="O42" i="34"/>
  <c r="P41" i="34"/>
  <c r="S41" i="34" s="1"/>
  <c r="S42" i="34" s="1"/>
  <c r="S44" i="34" s="1"/>
  <c r="Y26" i="3"/>
  <c r="Z23" i="3" s="1"/>
  <c r="I41" i="5"/>
  <c r="K56" i="35"/>
  <c r="I61" i="35"/>
  <c r="AH43" i="35"/>
  <c r="O31" i="3" l="1"/>
  <c r="Q19" i="3"/>
  <c r="Q21" i="3" s="1"/>
  <c r="Y27" i="3"/>
  <c r="Y29" i="3" s="1"/>
  <c r="M11" i="3"/>
  <c r="M13" i="3" s="1"/>
  <c r="M38" i="3" s="1"/>
  <c r="N7" i="3"/>
  <c r="R18" i="3"/>
  <c r="T15" i="3" s="1"/>
  <c r="Q51" i="35"/>
  <c r="S49" i="34"/>
  <c r="U49" i="34" s="1"/>
  <c r="U44" i="34"/>
  <c r="O44" i="34"/>
  <c r="O49" i="34" s="1"/>
  <c r="P42" i="34"/>
  <c r="Z26" i="3"/>
  <c r="AA23" i="3" s="1"/>
  <c r="K61" i="35"/>
  <c r="I65" i="35"/>
  <c r="L21" i="4" l="1"/>
  <c r="L31" i="4" s="1"/>
  <c r="L33" i="4" s="1"/>
  <c r="L46" i="4" s="1"/>
  <c r="L47" i="4" s="1"/>
  <c r="R51" i="35"/>
  <c r="O34" i="3"/>
  <c r="O35" i="3"/>
  <c r="O37" i="3" s="1"/>
  <c r="V41" i="34"/>
  <c r="V42" i="34" s="1"/>
  <c r="L41" i="27"/>
  <c r="L42" i="27" s="1"/>
  <c r="L44" i="27" s="1"/>
  <c r="L49" i="27" s="1"/>
  <c r="Z27" i="3"/>
  <c r="Z29" i="3" s="1"/>
  <c r="R19" i="3"/>
  <c r="R21" i="3" s="1"/>
  <c r="N10" i="3"/>
  <c r="Q54" i="35"/>
  <c r="O56" i="35"/>
  <c r="AA26" i="3"/>
  <c r="AB23" i="3" s="1"/>
  <c r="K65" i="35"/>
  <c r="L34" i="4" l="1"/>
  <c r="P31" i="3"/>
  <c r="R54" i="35"/>
  <c r="R56" i="35" s="1"/>
  <c r="R61" i="35" s="1"/>
  <c r="R65" i="35" s="1"/>
  <c r="N11" i="3"/>
  <c r="N13" i="3" s="1"/>
  <c r="N38" i="3" s="1"/>
  <c r="O7" i="3"/>
  <c r="T18" i="3"/>
  <c r="V44" i="34"/>
  <c r="Q56" i="35"/>
  <c r="O61" i="35"/>
  <c r="AA27" i="3"/>
  <c r="AA29" i="3" s="1"/>
  <c r="AB26" i="3"/>
  <c r="AB27" i="3" s="1"/>
  <c r="AB29" i="3" s="1"/>
  <c r="W41" i="34" l="1"/>
  <c r="S51" i="35"/>
  <c r="P34" i="3"/>
  <c r="P35" i="3" s="1"/>
  <c r="P37" i="3" s="1"/>
  <c r="M41" i="27"/>
  <c r="M42" i="27" s="1"/>
  <c r="M44" i="27" s="1"/>
  <c r="M49" i="27" s="1"/>
  <c r="M21" i="4"/>
  <c r="M31" i="4" s="1"/>
  <c r="M33" i="4" s="1"/>
  <c r="M46" i="4" s="1"/>
  <c r="M47" i="4" s="1"/>
  <c r="S54" i="35"/>
  <c r="S56" i="35" s="1"/>
  <c r="S61" i="35" s="1"/>
  <c r="S65" i="35" s="1"/>
  <c r="T19" i="3"/>
  <c r="T21" i="3" s="1"/>
  <c r="W42" i="34"/>
  <c r="O10" i="3"/>
  <c r="Q61" i="35"/>
  <c r="O65" i="35"/>
  <c r="Y44" i="34"/>
  <c r="V49" i="34"/>
  <c r="Y49" i="34" s="1"/>
  <c r="M34" i="4" l="1"/>
  <c r="Q31" i="3"/>
  <c r="O11" i="3"/>
  <c r="O13" i="3" s="1"/>
  <c r="O38" i="3" s="1"/>
  <c r="P7" i="3"/>
  <c r="U18" i="3"/>
  <c r="Q65" i="35"/>
  <c r="W44" i="34"/>
  <c r="W49" i="34" s="1"/>
  <c r="N41" i="27" l="1"/>
  <c r="N42" i="27" s="1"/>
  <c r="N44" i="27" s="1"/>
  <c r="N49" i="27" s="1"/>
  <c r="T51" i="35"/>
  <c r="T54" i="35" s="1"/>
  <c r="T56" i="35" s="1"/>
  <c r="T61" i="35" s="1"/>
  <c r="T65" i="35" s="1"/>
  <c r="Q34" i="3"/>
  <c r="Q35" i="3"/>
  <c r="Q37" i="3" s="1"/>
  <c r="X41" i="34"/>
  <c r="X42" i="34" s="1"/>
  <c r="N21" i="4"/>
  <c r="N31" i="4" s="1"/>
  <c r="N33" i="4" s="1"/>
  <c r="N46" i="4" s="1"/>
  <c r="N47" i="4" s="1"/>
  <c r="U19" i="3"/>
  <c r="U21" i="3" s="1"/>
  <c r="V18" i="3"/>
  <c r="P10" i="3"/>
  <c r="U51" i="35" l="1"/>
  <c r="U54" i="35" s="1"/>
  <c r="R31" i="3"/>
  <c r="N34" i="4"/>
  <c r="Y41" i="34"/>
  <c r="V19" i="3"/>
  <c r="V21" i="3" s="1"/>
  <c r="P11" i="3"/>
  <c r="P13" i="3" s="1"/>
  <c r="P38" i="3" s="1"/>
  <c r="Q7" i="3"/>
  <c r="W18" i="3"/>
  <c r="Y15" i="3" s="1"/>
  <c r="X44" i="34"/>
  <c r="X49" i="34" s="1"/>
  <c r="Y42" i="34"/>
  <c r="X51" i="35" l="1"/>
  <c r="X54" i="35" s="1"/>
  <c r="X56" i="35" s="1"/>
  <c r="X61" i="35" s="1"/>
  <c r="X65" i="35" s="1"/>
  <c r="W51" i="35"/>
  <c r="R34" i="3"/>
  <c r="T31" i="3" s="1"/>
  <c r="Z41" i="34"/>
  <c r="Z42" i="34" s="1"/>
  <c r="O21" i="4"/>
  <c r="O31" i="4" s="1"/>
  <c r="O33" i="4" s="1"/>
  <c r="O41" i="27"/>
  <c r="O42" i="27" s="1"/>
  <c r="O44" i="27" s="1"/>
  <c r="O49" i="27" s="1"/>
  <c r="W19" i="3"/>
  <c r="W21" i="3" s="1"/>
  <c r="Y18" i="3"/>
  <c r="Z15" i="3" s="1"/>
  <c r="W54" i="35"/>
  <c r="U56" i="35"/>
  <c r="Q10" i="3"/>
  <c r="R7" i="3" s="1"/>
  <c r="T34" i="3" l="1"/>
  <c r="U31" i="3" s="1"/>
  <c r="R35" i="3"/>
  <c r="R37" i="3" s="1"/>
  <c r="Y19" i="3"/>
  <c r="Y21" i="3" s="1"/>
  <c r="Z18" i="3"/>
  <c r="AA15" i="3" s="1"/>
  <c r="O46" i="4"/>
  <c r="O47" i="4" s="1"/>
  <c r="O34" i="4"/>
  <c r="Z44" i="34"/>
  <c r="W56" i="35"/>
  <c r="U61" i="35"/>
  <c r="Q11" i="3"/>
  <c r="Q13" i="3" s="1"/>
  <c r="Q38" i="3" s="1"/>
  <c r="Y51" i="35" s="1"/>
  <c r="U34" i="3" l="1"/>
  <c r="V31" i="3" s="1"/>
  <c r="T35" i="3"/>
  <c r="T37" i="3" s="1"/>
  <c r="Z19" i="3"/>
  <c r="Z21" i="3" s="1"/>
  <c r="AC44" i="34"/>
  <c r="Z49" i="34"/>
  <c r="AC49" i="34" s="1"/>
  <c r="AA41" i="34"/>
  <c r="P21" i="4"/>
  <c r="P31" i="4" s="1"/>
  <c r="P41" i="27"/>
  <c r="Y54" i="35"/>
  <c r="U65" i="35"/>
  <c r="W61" i="35"/>
  <c r="V34" i="3" l="1"/>
  <c r="W31" i="3" s="1"/>
  <c r="U35" i="3"/>
  <c r="U37" i="3" s="1"/>
  <c r="AA18" i="3"/>
  <c r="AB15" i="3" s="1"/>
  <c r="R10" i="3"/>
  <c r="T7" i="3" s="1"/>
  <c r="AA42" i="34"/>
  <c r="P33" i="4"/>
  <c r="Y56" i="35"/>
  <c r="Y61" i="35" s="1"/>
  <c r="Y65" i="35" s="1"/>
  <c r="P42" i="27"/>
  <c r="P44" i="27" s="1"/>
  <c r="P49" i="27" s="1"/>
  <c r="W65" i="35"/>
  <c r="V35" i="3" l="1"/>
  <c r="V37" i="3" s="1"/>
  <c r="W34" i="3"/>
  <c r="Y31" i="3" s="1"/>
  <c r="AA19" i="3"/>
  <c r="AA21" i="3" s="1"/>
  <c r="AB18" i="3"/>
  <c r="AB19" i="3" s="1"/>
  <c r="AB21" i="3" s="1"/>
  <c r="P46" i="4"/>
  <c r="P47" i="4" s="1"/>
  <c r="P34" i="4"/>
  <c r="AA44" i="34"/>
  <c r="AA49" i="34" s="1"/>
  <c r="T10" i="3"/>
  <c r="U7" i="3" s="1"/>
  <c r="R11" i="3"/>
  <c r="R13" i="3" s="1"/>
  <c r="R38" i="3" s="1"/>
  <c r="Z51" i="35" s="1"/>
  <c r="Y34" i="3" l="1"/>
  <c r="Z31" i="3" s="1"/>
  <c r="Y35" i="3"/>
  <c r="Y37" i="3" s="1"/>
  <c r="W35" i="3"/>
  <c r="W37" i="3" s="1"/>
  <c r="T11" i="3"/>
  <c r="T13" i="3" s="1"/>
  <c r="T38" i="3" s="1"/>
  <c r="U10" i="3"/>
  <c r="V7" i="3" s="1"/>
  <c r="Z54" i="35"/>
  <c r="Q41" i="27"/>
  <c r="AB41" i="34"/>
  <c r="Q21" i="4"/>
  <c r="Q31" i="4" s="1"/>
  <c r="Z34" i="3" l="1"/>
  <c r="AA31" i="3" s="1"/>
  <c r="Y21" i="4"/>
  <c r="X21" i="4"/>
  <c r="Z21" i="4"/>
  <c r="AA21" i="4"/>
  <c r="AD21" i="4"/>
  <c r="T21" i="4"/>
  <c r="T31" i="4" s="1"/>
  <c r="T33" i="4" s="1"/>
  <c r="AB21" i="4"/>
  <c r="V21" i="4"/>
  <c r="W21" i="4"/>
  <c r="U21" i="4"/>
  <c r="AC21" i="4"/>
  <c r="AH51" i="35"/>
  <c r="S21" i="4"/>
  <c r="S31" i="4" s="1"/>
  <c r="U11" i="3"/>
  <c r="U13" i="3" s="1"/>
  <c r="U38" i="3" s="1"/>
  <c r="U41" i="27" s="1"/>
  <c r="U42" i="27" s="1"/>
  <c r="U44" i="27" s="1"/>
  <c r="U49" i="27" s="1"/>
  <c r="T41" i="27"/>
  <c r="T42" i="27" s="1"/>
  <c r="T44" i="27" s="1"/>
  <c r="T49" i="27" s="1"/>
  <c r="Q42" i="27"/>
  <c r="Q44" i="27" s="1"/>
  <c r="Q49" i="27" s="1"/>
  <c r="R41" i="27"/>
  <c r="R42" i="27" s="1"/>
  <c r="R44" i="27" s="1"/>
  <c r="R49" i="27" s="1"/>
  <c r="V10" i="3"/>
  <c r="Q33" i="4"/>
  <c r="AB42" i="34"/>
  <c r="AC41" i="34"/>
  <c r="AD41" i="34" s="1"/>
  <c r="AD42" i="34" s="1"/>
  <c r="AD44" i="34" s="1"/>
  <c r="AD49" i="34" s="1"/>
  <c r="Z56" i="35"/>
  <c r="Z61" i="35" s="1"/>
  <c r="Z65" i="35" s="1"/>
  <c r="AA51" i="35"/>
  <c r="AA54" i="35" s="1"/>
  <c r="Z35" i="3" l="1"/>
  <c r="Z37" i="3" s="1"/>
  <c r="AA34" i="3"/>
  <c r="AB31" i="3" s="1"/>
  <c r="AA35" i="3"/>
  <c r="AA37" i="3" s="1"/>
  <c r="AI51" i="35"/>
  <c r="AI54" i="35" s="1"/>
  <c r="AI56" i="35" s="1"/>
  <c r="AI61" i="35" s="1"/>
  <c r="AI65" i="35" s="1"/>
  <c r="W31" i="4"/>
  <c r="W33" i="4" s="1"/>
  <c r="W46" i="4" s="1"/>
  <c r="AH54" i="35"/>
  <c r="V11" i="3"/>
  <c r="V13" i="3" s="1"/>
  <c r="V38" i="3" s="1"/>
  <c r="W7" i="3"/>
  <c r="W10" i="3" s="1"/>
  <c r="Y7" i="3" s="1"/>
  <c r="T46" i="4"/>
  <c r="AB44" i="34"/>
  <c r="AB49" i="34" s="1"/>
  <c r="AC42" i="34"/>
  <c r="Q46" i="4"/>
  <c r="Q47" i="4" s="1"/>
  <c r="Q34" i="4"/>
  <c r="AC51" i="35"/>
  <c r="AD51" i="35"/>
  <c r="H49" i="5"/>
  <c r="S17" i="4" l="1"/>
  <c r="S30" i="4" s="1"/>
  <c r="S33" i="4" s="1"/>
  <c r="AB34" i="3"/>
  <c r="AB35" i="3" s="1"/>
  <c r="AB37" i="3" s="1"/>
  <c r="V41" i="27"/>
  <c r="V42" i="27" s="1"/>
  <c r="V44" i="27" s="1"/>
  <c r="V49" i="27" s="1"/>
  <c r="AJ51" i="35"/>
  <c r="U31" i="4"/>
  <c r="U33" i="4" s="1"/>
  <c r="U46" i="4" s="1"/>
  <c r="W11" i="3"/>
  <c r="W13" i="3" s="1"/>
  <c r="W38" i="3" s="1"/>
  <c r="Y10" i="3"/>
  <c r="G49" i="5"/>
  <c r="I49" i="5" s="1"/>
  <c r="AC54" i="35"/>
  <c r="AA56" i="35"/>
  <c r="AD54" i="35"/>
  <c r="H53" i="5"/>
  <c r="S34" i="4" l="1"/>
  <c r="T34" i="4" s="1"/>
  <c r="S46" i="4"/>
  <c r="AJ54" i="35"/>
  <c r="AJ56" i="35" s="1"/>
  <c r="AJ61" i="35" s="1"/>
  <c r="AJ65" i="35" s="1"/>
  <c r="AC31" i="4"/>
  <c r="AC33" i="4" s="1"/>
  <c r="AC46" i="4" s="1"/>
  <c r="AD31" i="4"/>
  <c r="AD33" i="4" s="1"/>
  <c r="AD46" i="4" s="1"/>
  <c r="AB31" i="4"/>
  <c r="AK51" i="35"/>
  <c r="AK54" i="35" s="1"/>
  <c r="AK56" i="35" s="1"/>
  <c r="AK61" i="35" s="1"/>
  <c r="AK65" i="35" s="1"/>
  <c r="U34" i="4"/>
  <c r="Y11" i="3"/>
  <c r="Y13" i="3" s="1"/>
  <c r="Y38" i="3" s="1"/>
  <c r="Z7" i="3"/>
  <c r="Z10" i="3" s="1"/>
  <c r="AA7" i="3" s="1"/>
  <c r="W41" i="27"/>
  <c r="X41" i="27" s="1"/>
  <c r="X42" i="27" s="1"/>
  <c r="X44" i="27" s="1"/>
  <c r="X49" i="27" s="1"/>
  <c r="V31" i="4"/>
  <c r="V33" i="4" s="1"/>
  <c r="AA61" i="35"/>
  <c r="AC56" i="35"/>
  <c r="H55" i="5"/>
  <c r="AD56" i="35"/>
  <c r="G55" i="5" s="1"/>
  <c r="G53" i="5"/>
  <c r="S47" i="4" l="1"/>
  <c r="T47" i="4" s="1"/>
  <c r="U47" i="4" s="1"/>
  <c r="AG21" i="4"/>
  <c r="AO21" i="4"/>
  <c r="AQ21" i="4"/>
  <c r="AH21" i="4"/>
  <c r="AP21" i="4"/>
  <c r="AL21" i="4"/>
  <c r="AN21" i="4"/>
  <c r="AI21" i="4"/>
  <c r="AM21" i="4"/>
  <c r="AJ21" i="4"/>
  <c r="AK21" i="4"/>
  <c r="AL51" i="35"/>
  <c r="AB33" i="4"/>
  <c r="AB46" i="4" s="1"/>
  <c r="X31" i="4"/>
  <c r="X33" i="4" s="1"/>
  <c r="X46" i="4" s="1"/>
  <c r="AF21" i="4"/>
  <c r="AF31" i="4" s="1"/>
  <c r="AH31" i="4"/>
  <c r="AH33" i="4" s="1"/>
  <c r="AH46" i="4" s="1"/>
  <c r="AG31" i="4"/>
  <c r="AG33" i="4" s="1"/>
  <c r="AG46" i="4" s="1"/>
  <c r="AN51" i="35"/>
  <c r="W42" i="27"/>
  <c r="W44" i="27" s="1"/>
  <c r="W49" i="27" s="1"/>
  <c r="V46" i="4"/>
  <c r="V34" i="4"/>
  <c r="W34" i="4" s="1"/>
  <c r="Z11" i="3"/>
  <c r="Z13" i="3" s="1"/>
  <c r="Z38" i="3" s="1"/>
  <c r="AH56" i="35"/>
  <c r="I55" i="5"/>
  <c r="AA10" i="3"/>
  <c r="AB7" i="3" s="1"/>
  <c r="AA65" i="35"/>
  <c r="AC61" i="35"/>
  <c r="AD61" i="35"/>
  <c r="AD62" i="35" s="1"/>
  <c r="AF62" i="35" l="1"/>
  <c r="H61" i="5" s="1"/>
  <c r="AF63" i="35"/>
  <c r="AF64" i="35" s="1"/>
  <c r="V47" i="4"/>
  <c r="W47" i="4" s="1"/>
  <c r="X47" i="4" s="1"/>
  <c r="AL54" i="35"/>
  <c r="AL56" i="35" s="1"/>
  <c r="AL61" i="35" s="1"/>
  <c r="K49" i="5"/>
  <c r="AK31" i="4"/>
  <c r="AK33" i="4" s="1"/>
  <c r="AK46" i="4" s="1"/>
  <c r="AJ31" i="4"/>
  <c r="AJ33" i="4" s="1"/>
  <c r="AJ46" i="4" s="1"/>
  <c r="AO51" i="35"/>
  <c r="AO54" i="35" s="1"/>
  <c r="AO56" i="35" s="1"/>
  <c r="AO61" i="35" s="1"/>
  <c r="AO65" i="35" s="1"/>
  <c r="AI31" i="4"/>
  <c r="AI33" i="4" s="1"/>
  <c r="AI46" i="4" s="1"/>
  <c r="X34" i="4"/>
  <c r="AN54" i="35"/>
  <c r="AN56" i="35" s="1"/>
  <c r="AN61" i="35" s="1"/>
  <c r="AN65" i="35" s="1"/>
  <c r="H60" i="5"/>
  <c r="Z41" i="27"/>
  <c r="Z42" i="27" s="1"/>
  <c r="Z44" i="27" s="1"/>
  <c r="Z49" i="27" s="1"/>
  <c r="Y31" i="4"/>
  <c r="Y33" i="4" s="1"/>
  <c r="Y46" i="4" s="1"/>
  <c r="G60" i="5"/>
  <c r="G61" i="5"/>
  <c r="AD63" i="35"/>
  <c r="AC65" i="35"/>
  <c r="AH61" i="35"/>
  <c r="AB10" i="3"/>
  <c r="AB11" i="3" s="1"/>
  <c r="AB13" i="3" s="1"/>
  <c r="AB38" i="3" s="1"/>
  <c r="AA11" i="3"/>
  <c r="AA13" i="3" s="1"/>
  <c r="AA38" i="3" s="1"/>
  <c r="I60" i="5" l="1"/>
  <c r="AL62" i="35"/>
  <c r="K61" i="5" s="1"/>
  <c r="AL63" i="35"/>
  <c r="AL64" i="35" s="1"/>
  <c r="Y47" i="4"/>
  <c r="K53" i="5"/>
  <c r="K55" i="5" s="1"/>
  <c r="K60" i="5" s="1"/>
  <c r="AQ51" i="35"/>
  <c r="AQ54" i="35" s="1"/>
  <c r="AQ56" i="35" s="1"/>
  <c r="AQ61" i="35" s="1"/>
  <c r="AQ65" i="35" s="1"/>
  <c r="AP31" i="4"/>
  <c r="AP33" i="4" s="1"/>
  <c r="AP46" i="4" s="1"/>
  <c r="AQ31" i="4"/>
  <c r="AQ33" i="4" s="1"/>
  <c r="AQ46" i="4" s="1"/>
  <c r="AO31" i="4"/>
  <c r="AM31" i="4"/>
  <c r="AM33" i="4" s="1"/>
  <c r="AM46" i="4" s="1"/>
  <c r="AN31" i="4"/>
  <c r="AN33" i="4" s="1"/>
  <c r="AN46" i="4" s="1"/>
  <c r="AL31" i="4"/>
  <c r="AL33" i="4" s="1"/>
  <c r="AL46" i="4" s="1"/>
  <c r="AP51" i="35"/>
  <c r="AP54" i="35" s="1"/>
  <c r="AP56" i="35" s="1"/>
  <c r="AP61" i="35" s="1"/>
  <c r="AP65" i="35" s="1"/>
  <c r="AD64" i="35"/>
  <c r="H63" i="5" s="1"/>
  <c r="Y34" i="4"/>
  <c r="AB41" i="27"/>
  <c r="AB42" i="27" s="1"/>
  <c r="AB44" i="27" s="1"/>
  <c r="AB49" i="27" s="1"/>
  <c r="AA31" i="4"/>
  <c r="AA33" i="4" s="1"/>
  <c r="AA46" i="4" s="1"/>
  <c r="AA41" i="27"/>
  <c r="AA42" i="27" s="1"/>
  <c r="AA44" i="27" s="1"/>
  <c r="AA49" i="27" s="1"/>
  <c r="Z31" i="4"/>
  <c r="Z33" i="4" s="1"/>
  <c r="Z46" i="4" s="1"/>
  <c r="G62" i="5"/>
  <c r="AH65" i="35"/>
  <c r="Z47" i="4" l="1"/>
  <c r="AA47" i="4" s="1"/>
  <c r="AB47" i="4" s="1"/>
  <c r="AC47" i="4" s="1"/>
  <c r="AD47" i="4" s="1"/>
  <c r="K62" i="5"/>
  <c r="AR51" i="35"/>
  <c r="AO33" i="4"/>
  <c r="AO46" i="4" s="1"/>
  <c r="H62" i="5"/>
  <c r="AF65" i="35"/>
  <c r="H64" i="5" s="1"/>
  <c r="AD41" i="27"/>
  <c r="AD42" i="27" s="1"/>
  <c r="AD44" i="27" s="1"/>
  <c r="AD49" i="27" s="1"/>
  <c r="Z34" i="4"/>
  <c r="AA34" i="4" s="1"/>
  <c r="AB34" i="4" s="1"/>
  <c r="AC34" i="4" s="1"/>
  <c r="AD34" i="4" s="1"/>
  <c r="G63" i="5"/>
  <c r="AD65" i="35"/>
  <c r="G64" i="5" s="1"/>
  <c r="AF17" i="4" l="1"/>
  <c r="AF30" i="4" s="1"/>
  <c r="AF33" i="4" s="1"/>
  <c r="AR54" i="35"/>
  <c r="AR56" i="35" s="1"/>
  <c r="AR61" i="35" s="1"/>
  <c r="M49" i="5"/>
  <c r="K63" i="5"/>
  <c r="K64" i="5" s="1"/>
  <c r="K66" i="5" s="1"/>
  <c r="AL65" i="35"/>
  <c r="H66" i="5"/>
  <c r="I64" i="5"/>
  <c r="G66" i="5"/>
  <c r="AF46" i="4" l="1"/>
  <c r="AF34" i="4"/>
  <c r="AG34" i="4" s="1"/>
  <c r="AH34" i="4" s="1"/>
  <c r="AI34" i="4" s="1"/>
  <c r="AJ34" i="4" s="1"/>
  <c r="AK34" i="4" s="1"/>
  <c r="AL34" i="4" s="1"/>
  <c r="AM34" i="4" s="1"/>
  <c r="AN34" i="4" s="1"/>
  <c r="AO34" i="4" s="1"/>
  <c r="AP34" i="4" s="1"/>
  <c r="AQ34" i="4" s="1"/>
  <c r="AR63" i="35"/>
  <c r="AR64" i="35" s="1"/>
  <c r="AR62" i="35"/>
  <c r="M61" i="5" s="1"/>
  <c r="M53" i="5"/>
  <c r="M55" i="5" s="1"/>
  <c r="M60" i="5" s="1"/>
  <c r="AF47" i="4" l="1"/>
  <c r="AG47" i="4" s="1"/>
  <c r="AH47" i="4" s="1"/>
  <c r="AI47" i="4" s="1"/>
  <c r="AJ47" i="4" s="1"/>
  <c r="AK47" i="4" s="1"/>
  <c r="AL47" i="4" s="1"/>
  <c r="AM47" i="4" s="1"/>
  <c r="AN47" i="4" s="1"/>
  <c r="AO47" i="4" s="1"/>
  <c r="AP47" i="4" s="1"/>
  <c r="AQ47" i="4" s="1"/>
  <c r="M63" i="5"/>
  <c r="M62" i="5"/>
  <c r="M64" i="5" l="1"/>
  <c r="M66" i="5" s="1"/>
  <c r="AR65"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<sst xmlns="http://schemas.openxmlformats.org/spreadsheetml/2006/main" count="1861" uniqueCount="581">
  <si>
    <t>Jan</t>
    <phoneticPr fontId="6" type="noConversion"/>
  </si>
  <si>
    <t>Feb</t>
    <phoneticPr fontId="6" type="noConversion"/>
  </si>
  <si>
    <t>Nov</t>
  </si>
  <si>
    <t>Dez</t>
  </si>
  <si>
    <t>Jan</t>
    <phoneticPr fontId="5" type="noConversion"/>
  </si>
  <si>
    <t>Feb</t>
    <phoneticPr fontId="5" type="noConversion"/>
  </si>
  <si>
    <t>Mär</t>
  </si>
  <si>
    <t>Apr</t>
  </si>
  <si>
    <t>Mai</t>
  </si>
  <si>
    <t>Jun</t>
  </si>
  <si>
    <t>Jul</t>
  </si>
  <si>
    <t>Aug</t>
  </si>
  <si>
    <t>Sep</t>
  </si>
  <si>
    <t>Okt</t>
  </si>
  <si>
    <t>Q1</t>
    <phoneticPr fontId="5" type="noConversion"/>
  </si>
  <si>
    <t>Q2</t>
    <phoneticPr fontId="5" type="noConversion"/>
  </si>
  <si>
    <t>Q3</t>
    <phoneticPr fontId="5" type="noConversion"/>
  </si>
  <si>
    <t>Q4</t>
    <phoneticPr fontId="5" type="noConversion"/>
  </si>
  <si>
    <t>Euro</t>
    <phoneticPr fontId="5" type="noConversion"/>
  </si>
  <si>
    <t>Position</t>
    <phoneticPr fontId="5" type="noConversion"/>
  </si>
  <si>
    <t>#</t>
    <phoneticPr fontId="5" type="noConversion"/>
  </si>
  <si>
    <t>Ttl</t>
    <phoneticPr fontId="5" type="noConversion"/>
  </si>
  <si>
    <t>Der GewSt-Hebesatz kann über Google oder die Webseite der zuständige IHK gefunden werden</t>
    <phoneticPr fontId="5" type="noConversion"/>
  </si>
  <si>
    <t>Parameter</t>
    <phoneticPr fontId="5" type="noConversion"/>
  </si>
  <si>
    <t>%</t>
  </si>
  <si>
    <t>Liquidität je Periode</t>
    <phoneticPr fontId="5" type="noConversion"/>
  </si>
  <si>
    <t>Liquidität kumulativ</t>
    <phoneticPr fontId="5" type="noConversion"/>
  </si>
  <si>
    <t>Finanzierung Summe</t>
  </si>
  <si>
    <t xml:space="preserve">all amounts in </t>
  </si>
  <si>
    <t>Revenues from ...</t>
  </si>
  <si>
    <t>Expenses for ...</t>
  </si>
  <si>
    <t>Total Revenues</t>
  </si>
  <si>
    <t>Total Expenses</t>
  </si>
  <si>
    <t>Over/Undercoverage Periode</t>
  </si>
  <si>
    <t>Over/Undercoverage cumulative</t>
  </si>
  <si>
    <t>Financing</t>
  </si>
  <si>
    <t xml:space="preserve">     R&amp;D subsidies</t>
  </si>
  <si>
    <t xml:space="preserve">     Subsidies</t>
  </si>
  <si>
    <t xml:space="preserve">     Interest</t>
  </si>
  <si>
    <t xml:space="preserve">     Licence Fees</t>
  </si>
  <si>
    <t xml:space="preserve">     Rentals</t>
  </si>
  <si>
    <t xml:space="preserve">     Sales/Downpayments</t>
  </si>
  <si>
    <t xml:space="preserve">     Securities, loans given</t>
  </si>
  <si>
    <t xml:space="preserve">     Other interest and revenues</t>
  </si>
  <si>
    <t xml:space="preserve">     Extraordinary revenues</t>
  </si>
  <si>
    <t xml:space="preserve">     Extraordinary expenses</t>
  </si>
  <si>
    <t>Revenues</t>
  </si>
  <si>
    <t>Profit and Loss Statement</t>
  </si>
  <si>
    <t>Mar</t>
  </si>
  <si>
    <t>May</t>
  </si>
  <si>
    <t>Oct</t>
  </si>
  <si>
    <t>Dec</t>
  </si>
  <si>
    <t>Granted Discounts</t>
  </si>
  <si>
    <t>Oher related Revenues (Total)</t>
  </si>
  <si>
    <t xml:space="preserve"> - Costs of Goods produced</t>
  </si>
  <si>
    <t xml:space="preserve"> - Received Services/Goods</t>
  </si>
  <si>
    <t>Gross Income</t>
  </si>
  <si>
    <t xml:space="preserve"> - Personnel Costs (Total)</t>
  </si>
  <si>
    <t>- Depreciation</t>
  </si>
  <si>
    <t>- Other related Costs (Total)</t>
  </si>
  <si>
    <t xml:space="preserve">     Rental, Leasing</t>
  </si>
  <si>
    <t xml:space="preserve">     Insurance, Fees</t>
  </si>
  <si>
    <t xml:space="preserve">     Office Supplies </t>
  </si>
  <si>
    <t xml:space="preserve">     Advertising, PR, Sales</t>
  </si>
  <si>
    <t xml:space="preserve">     Legal, Consulting, Tax advice, bookkeeping</t>
  </si>
  <si>
    <t xml:space="preserve">   +  Revenue for Holdings</t>
  </si>
  <si>
    <t xml:space="preserve">   +  Revenue from Securites, Loans given</t>
  </si>
  <si>
    <t xml:space="preserve">   +  Other Interest and Revenues</t>
  </si>
  <si>
    <t xml:space="preserve">   -  Depreciation of Securities</t>
  </si>
  <si>
    <t xml:space="preserve">   -  Interest and similar Expenses</t>
  </si>
  <si>
    <t>Financial Result</t>
  </si>
  <si>
    <t xml:space="preserve">     Extraordinary Expenses</t>
  </si>
  <si>
    <t xml:space="preserve">     Extraordinary Revenues</t>
  </si>
  <si>
    <t>Extraordinary Result</t>
  </si>
  <si>
    <t>Earnings before Taxes (EBT)</t>
  </si>
  <si>
    <t>Total</t>
  </si>
  <si>
    <t>Miscellaneous</t>
  </si>
  <si>
    <t>enter city</t>
  </si>
  <si>
    <t xml:space="preserve">   Interest per Period</t>
  </si>
  <si>
    <t>1. Current Account</t>
  </si>
  <si>
    <t>Total Interest</t>
  </si>
  <si>
    <t xml:space="preserve">   - Redemption</t>
  </si>
  <si>
    <t>Total Redemption</t>
  </si>
  <si>
    <t>Operating output</t>
  </si>
  <si>
    <t xml:space="preserve">     Salaries incl. Dues</t>
  </si>
  <si>
    <t xml:space="preserve">    Employer's liability Insurance Association</t>
  </si>
  <si>
    <t>Operating Result</t>
  </si>
  <si>
    <t>Results from Ordinary Business Operations</t>
  </si>
  <si>
    <t xml:space="preserve">     Development</t>
  </si>
  <si>
    <t xml:space="preserve">     Licenses</t>
  </si>
  <si>
    <t xml:space="preserve">     Development/Investment</t>
  </si>
  <si>
    <t>Q1</t>
  </si>
  <si>
    <t>Q2</t>
  </si>
  <si>
    <t>Q3</t>
  </si>
  <si>
    <t>Q4</t>
  </si>
  <si>
    <t>Working Capital Finance</t>
  </si>
  <si>
    <t>Ist Q1/2015</t>
  </si>
  <si>
    <t>Budget Q1/2015</t>
  </si>
  <si>
    <t>%-Differenz Ist-Budget  Q1/2105</t>
  </si>
  <si>
    <t>Budget Q2/2015</t>
  </si>
  <si>
    <t>Budget Q3/2015</t>
  </si>
  <si>
    <t>Budget Q4/2015</t>
  </si>
  <si>
    <t>Umsätze</t>
  </si>
  <si>
    <t>gewährte Skonti</t>
  </si>
  <si>
    <t>Sonstige betriebliche Erträge</t>
  </si>
  <si>
    <t xml:space="preserve">    Mieten</t>
  </si>
  <si>
    <t xml:space="preserve">     Lizenzgebühren</t>
  </si>
  <si>
    <t xml:space="preserve">     Zinsen</t>
  </si>
  <si>
    <t>Betriebsergebnis</t>
  </si>
  <si>
    <t xml:space="preserve"> - Herstellungskosten</t>
  </si>
  <si>
    <t xml:space="preserve"> - erhaltene Dienstleistungen/Waren</t>
  </si>
  <si>
    <t>Rohertrag</t>
  </si>
  <si>
    <t xml:space="preserve"> - Personalkosten (Summe)</t>
  </si>
  <si>
    <t xml:space="preserve">     Gehälter inkl. Abgaben</t>
  </si>
  <si>
    <t xml:space="preserve">     Freiwillige Zahlungen</t>
  </si>
  <si>
    <t xml:space="preserve">    BG-Beiträge</t>
  </si>
  <si>
    <t xml:space="preserve">     Externes Personal</t>
  </si>
  <si>
    <t>- Abschreibungen</t>
  </si>
  <si>
    <t>- Sonstige Kosten (Summe)</t>
  </si>
  <si>
    <t xml:space="preserve">     Miete, Leasing</t>
  </si>
  <si>
    <t xml:space="preserve">     Versicherungen, Beiträge</t>
  </si>
  <si>
    <t xml:space="preserve">     Büromaterial </t>
  </si>
  <si>
    <t xml:space="preserve">     Werbung, PR, Vertrieb</t>
  </si>
  <si>
    <t xml:space="preserve">     Lzenzgebühren</t>
  </si>
  <si>
    <t xml:space="preserve">     Entwicklungskosten, Investitionen</t>
  </si>
  <si>
    <t xml:space="preserve">     Rechts- und Beratungskosten, Buchhaltung</t>
  </si>
  <si>
    <t xml:space="preserve">   +  Erlöse aus Beteiligungen</t>
  </si>
  <si>
    <t xml:space="preserve">   +  Erlöse aus Anlagen, Darlehen</t>
  </si>
  <si>
    <t xml:space="preserve">   +  Sonstige Zinsen und Erlöse</t>
  </si>
  <si>
    <t xml:space="preserve">   -  Abschreibung auf Finanzanlagen</t>
  </si>
  <si>
    <t xml:space="preserve">   -  Zinsen und andere Ausgaben</t>
  </si>
  <si>
    <t>Finanzergebnis</t>
  </si>
  <si>
    <t>Ergebnis der gewöhnlichen Geschäftstätigkeit</t>
  </si>
  <si>
    <t xml:space="preserve">     Ausserordentliche Erlöse</t>
  </si>
  <si>
    <t xml:space="preserve">     Ausserordentliche Aufwendungen</t>
  </si>
  <si>
    <t>Ausserordentliches Ergebnis</t>
  </si>
  <si>
    <t>Ergebnis vor Steuern</t>
  </si>
  <si>
    <t>ambiotex GmbH , Mainz</t>
  </si>
  <si>
    <t xml:space="preserve">Alle Beträge in </t>
  </si>
  <si>
    <t>Plan</t>
  </si>
  <si>
    <t xml:space="preserve">    Open</t>
  </si>
  <si>
    <t>Costs incl. Sales Tax for Cash Flow Plan</t>
  </si>
  <si>
    <t xml:space="preserve">     Mieten, Pachten</t>
  </si>
  <si>
    <t xml:space="preserve">     Beihilfen</t>
  </si>
  <si>
    <t xml:space="preserve">     Forschungsgelder</t>
  </si>
  <si>
    <t xml:space="preserve">     Andere Zinsen und Erträge</t>
  </si>
  <si>
    <t xml:space="preserve">     Aussergewöhnliche Erträge</t>
  </si>
  <si>
    <t xml:space="preserve">     Material</t>
  </si>
  <si>
    <t xml:space="preserve">     Personal</t>
  </si>
  <si>
    <t xml:space="preserve">     Andere Kosten</t>
  </si>
  <si>
    <t xml:space="preserve">     Steuern</t>
  </si>
  <si>
    <t xml:space="preserve">     Lizenzen</t>
  </si>
  <si>
    <t xml:space="preserve">     Tilgung von Darlehen</t>
  </si>
  <si>
    <t>Über-/Unterdeckung Periode</t>
  </si>
  <si>
    <t>Über-Unterdeckung kumuliert</t>
  </si>
  <si>
    <t xml:space="preserve">     Holdingerlöse</t>
  </si>
  <si>
    <t>Ist Q2/2015</t>
  </si>
  <si>
    <t>%-Differenz Ist-Budget  Q2/2105</t>
  </si>
  <si>
    <t>Budget 
Q1-Q2/
2015</t>
  </si>
  <si>
    <t>Ist 
Q1-Q2/
2015</t>
  </si>
  <si>
    <t>%-Differenz Ist-Budget  Q1-Q2/
2105</t>
  </si>
  <si>
    <t>Forecast (Ist Q1-Q2 + Plan Q3-Q4)</t>
  </si>
  <si>
    <t>USD/EUR</t>
  </si>
  <si>
    <t>Jan</t>
  </si>
  <si>
    <t>Feb</t>
  </si>
  <si>
    <t>Gewinn- und Verlustrechnung Q1-Q1 2015</t>
  </si>
  <si>
    <t>Auszahlungen für ...</t>
  </si>
  <si>
    <t>Summe Einzahlungen</t>
  </si>
  <si>
    <t>Summe Auszahlungen</t>
  </si>
  <si>
    <t xml:space="preserve">     Material purchase</t>
  </si>
  <si>
    <t xml:space="preserve">     Personnel costs</t>
  </si>
  <si>
    <t xml:space="preserve">     Other expenses</t>
  </si>
  <si>
    <t xml:space="preserve">     Corporate and revenue taxes</t>
  </si>
  <si>
    <t xml:space="preserve">     Redemption </t>
  </si>
  <si>
    <t xml:space="preserve">     Services received</t>
  </si>
  <si>
    <t xml:space="preserve">     voluntary payments</t>
  </si>
  <si>
    <t xml:space="preserve">     External Personnel</t>
  </si>
  <si>
    <t xml:space="preserve">  Balance beginning of Period</t>
  </si>
  <si>
    <t xml:space="preserve">   + Increase</t>
  </si>
  <si>
    <t xml:space="preserve">   Balance end of Month</t>
  </si>
  <si>
    <t xml:space="preserve">   Average Value</t>
  </si>
  <si>
    <t xml:space="preserve">   Interest Rate</t>
  </si>
  <si>
    <t xml:space="preserve">2. Shareholder Loan </t>
  </si>
  <si>
    <t xml:space="preserve">     Interest/Public Funding</t>
  </si>
  <si>
    <t>Bestandsveränderungen (Erhöhung +; Verminderung -)</t>
  </si>
  <si>
    <t>Increase (Decrease) in finished Goods and WiP</t>
  </si>
  <si>
    <t>Andere aktivierte Eigenleistungen</t>
  </si>
  <si>
    <t>Own Work capitalised</t>
  </si>
  <si>
    <t>Other operating Income</t>
  </si>
  <si>
    <t>Betriebsleistung</t>
  </si>
  <si>
    <t>Materialaufwand</t>
  </si>
  <si>
    <t>Cost of Material</t>
  </si>
  <si>
    <t>… für Roh-, Hilfs- und Betriebsstoffe und bezogenen Waren</t>
  </si>
  <si>
    <t>…ow Cost of raw Material and Supplies</t>
  </si>
  <si>
    <t>… für bezogene Leistungen</t>
  </si>
  <si>
    <t>…ow Cost of purchased Services</t>
  </si>
  <si>
    <t>Bruttoertrag/Rohertrag/Wertschöpfung</t>
  </si>
  <si>
    <t>Gross Margin</t>
  </si>
  <si>
    <t>Personalkosten</t>
  </si>
  <si>
    <t>Personnel Expenses</t>
  </si>
  <si>
    <t>… davon Geschäftsführergehalt</t>
  </si>
  <si>
    <t>… davon Löhne &amp; Gehälter</t>
  </si>
  <si>
    <t>…ow Wages and Salaries</t>
  </si>
  <si>
    <t>…ow Social Security, Pension &amp; other Benefits</t>
  </si>
  <si>
    <t>Abschreibungen</t>
  </si>
  <si>
    <t>Depreciation, Amortisation &amp; Write -offs</t>
  </si>
  <si>
    <t>… davon auf Vermögensgegenstände des Anlagevermögens</t>
  </si>
  <si>
    <t>…ow on Fixed Assets</t>
  </si>
  <si>
    <t>… davon auf Vermögensgegenstände des Umlaufvermögens</t>
  </si>
  <si>
    <t>…ow on Currrent Assets</t>
  </si>
  <si>
    <t>Sonstige betriebliche Aufwendungen</t>
  </si>
  <si>
    <t>… davon Miet- und Leasingaufwendungen</t>
  </si>
  <si>
    <t>…ow Rent and Leases</t>
  </si>
  <si>
    <t>… davon Vertriebs-/Marketingkosten</t>
  </si>
  <si>
    <t>…ow Distribution/Marketing</t>
  </si>
  <si>
    <t>… davon Verwaltungskosten</t>
  </si>
  <si>
    <t>...ow Administration</t>
  </si>
  <si>
    <t>…ow external Services</t>
  </si>
  <si>
    <t>… davon Rechts-/Beratungskosten</t>
  </si>
  <si>
    <t>…ow legal services, tax advice</t>
  </si>
  <si>
    <t>… davon Buchführung/Abschluss</t>
  </si>
  <si>
    <t>…ow bookkeeping, closing</t>
  </si>
  <si>
    <t>EBIT - Eranings before Interest &amp; Taxes</t>
  </si>
  <si>
    <t>Erträge aus Beteiligungen</t>
  </si>
  <si>
    <t>Income from Investment</t>
  </si>
  <si>
    <t>…davon aus verbundenen Unternehmen</t>
  </si>
  <si>
    <t>…ow from affiliated Companies</t>
  </si>
  <si>
    <t>Erträge aus Wertpapieren und Ausleihungen des Finanz-AV</t>
  </si>
  <si>
    <t>Income e from other lt Securities and Loans</t>
  </si>
  <si>
    <t>Sonstige Zinsen und Erträge</t>
  </si>
  <si>
    <t>Othert Interest &amp; sinmilar Income</t>
  </si>
  <si>
    <t>Abschreibungen auf Finanzanlagen/Wertpapiere des UV</t>
  </si>
  <si>
    <t>Write-offs of fin. Assets &amp; mark. Securities</t>
  </si>
  <si>
    <t>Zinsen und ähnliche Aufwendungen</t>
  </si>
  <si>
    <t>Interest and Similar Expenses</t>
  </si>
  <si>
    <t>…davon an verbundene Unternehmen</t>
  </si>
  <si>
    <t>Ergebnis der gewöhnlichen Geschäftstätigkeit (EGT)</t>
  </si>
  <si>
    <t>Außerordentliche Aufwendungen</t>
  </si>
  <si>
    <t>Jahresüberschuss/Jahresfehlbetrag</t>
  </si>
  <si>
    <t>Net Income/Net Loss</t>
  </si>
  <si>
    <t>GF</t>
  </si>
  <si>
    <t xml:space="preserve"> </t>
  </si>
  <si>
    <t>Income from Ordinary Operations</t>
  </si>
  <si>
    <t>Typ</t>
  </si>
  <si>
    <t>Int.</t>
  </si>
  <si>
    <t xml:space="preserve">     Zinsen, Vorsteuererstattung</t>
  </si>
  <si>
    <t xml:space="preserve">    Income from holdings</t>
  </si>
  <si>
    <t>Series A</t>
  </si>
  <si>
    <t>Cost_per_Sale</t>
  </si>
  <si>
    <t>Full time equiv.</t>
  </si>
  <si>
    <t>Other operating Expenses</t>
  </si>
  <si>
    <t>Financing Total</t>
  </si>
  <si>
    <t>Liquidity per period</t>
  </si>
  <si>
    <t>Total Liquidity</t>
  </si>
  <si>
    <t>Dev.
%</t>
  </si>
  <si>
    <t>Bridge Financing</t>
  </si>
  <si>
    <t>Sales Tax Reimbursement</t>
  </si>
  <si>
    <t>EUR</t>
  </si>
  <si>
    <t>… davon Lizenzen</t>
  </si>
  <si>
    <t>Jan</t>
    <phoneticPr fontId="5" type="noConversion"/>
  </si>
  <si>
    <t>Feb</t>
    <phoneticPr fontId="5" type="noConversion"/>
  </si>
  <si>
    <t>Leasing</t>
    <phoneticPr fontId="5" type="noConversion"/>
  </si>
  <si>
    <t>Jan</t>
    <phoneticPr fontId="5" type="noConversion"/>
  </si>
  <si>
    <t>Feb</t>
    <phoneticPr fontId="5" type="noConversion"/>
  </si>
  <si>
    <t>Marketing</t>
    <phoneticPr fontId="5" type="noConversion"/>
  </si>
  <si>
    <t>SEO / Content Marketing</t>
  </si>
  <si>
    <t>Liquidity 2017</t>
  </si>
  <si>
    <t>Euro</t>
  </si>
  <si>
    <t>Business tax</t>
  </si>
  <si>
    <t>Corporate tax</t>
  </si>
  <si>
    <t>Other taxes</t>
  </si>
  <si>
    <t>Solidaritätszuschlag</t>
  </si>
  <si>
    <t>Körperschaftssteuer</t>
  </si>
  <si>
    <t>Gewerbesteuer</t>
  </si>
  <si>
    <t>Summe</t>
  </si>
  <si>
    <t xml:space="preserve">     Aussergewöhnliche Ausgaben</t>
  </si>
  <si>
    <t xml:space="preserve">alle Beträge in </t>
  </si>
  <si>
    <t>x</t>
  </si>
  <si>
    <t>IST ytd</t>
  </si>
  <si>
    <t>Korrektur zu tatsächlichen Barmitteln</t>
  </si>
  <si>
    <t>… davon soziale Abgaben/Aufw. für Altersverversorgung</t>
  </si>
  <si>
    <t>EBITDA</t>
  </si>
  <si>
    <t>Gesamt-Erlösminderungen, Skonti, Provisionen</t>
  </si>
  <si>
    <t>… davon Fremdleistungen (siehe "bezogene Leistungen")</t>
  </si>
  <si>
    <t>… davon Versicherungen</t>
  </si>
  <si>
    <t>Granted Discounts, sales provisions, etc.</t>
  </si>
  <si>
    <t>…ow Managing Directors</t>
  </si>
  <si>
    <t>…ow Insurance</t>
  </si>
  <si>
    <t>Umsatzerlöse (brutto, ohne Minderungen)</t>
  </si>
  <si>
    <t>Online Marketing (Social X, Facebook)</t>
  </si>
  <si>
    <t>Firmenwagen</t>
  </si>
  <si>
    <t>Telekom, GEZ</t>
  </si>
  <si>
    <t>Sonstige betriebliche Erträge (Zuschuss ILB)</t>
  </si>
  <si>
    <t>Außerordentliche Erträge</t>
  </si>
  <si>
    <t>Bankbestand 1.1.d.J.</t>
  </si>
  <si>
    <t xml:space="preserve">    Netto-Umsätze, Anzahlungen, inkl. MWSt</t>
  </si>
  <si>
    <t>NN</t>
  </si>
  <si>
    <t>GuV-Position</t>
  </si>
  <si>
    <t>P&amp;L Item</t>
  </si>
  <si>
    <t>Hinweise</t>
  </si>
  <si>
    <t>das "x" in Zeile 4 im aktuellen Jahr bestimmt, welche Spalte für die Prognose genommen wird. Beispiel: ein "x" über "Ist Q1" und ein "x" über den übrigen Plan-Spalten bewirkt, das für die Prognose das Ist von Q1 und die Plan-werte der übrigen Quartale addiert werden. Die Prognose ist also immer das "Ist" plus der restliche Plan.</t>
  </si>
  <si>
    <t>Gelb unterlegte Felder sind Einabefelder. Alle anderen Werte werden durch Formeln und Referenzen aus anderen Arbeitsblättern erstellt</t>
  </si>
  <si>
    <t>"Ist"-Werte händisch aus der jeweiligen BWA des Quartals eintragen</t>
  </si>
  <si>
    <t>G&amp;V Position</t>
  </si>
  <si>
    <t xml:space="preserve">     Entwicklungskosten (inkl. MWSt/VAT)</t>
  </si>
  <si>
    <t>Total Development</t>
  </si>
  <si>
    <t>3. Loan</t>
  </si>
  <si>
    <t xml:space="preserve"> - Parameter</t>
  </si>
  <si>
    <t xml:space="preserve"> - Personal</t>
  </si>
  <si>
    <t xml:space="preserve"> - other Costs</t>
  </si>
  <si>
    <t xml:space="preserve"> - Development Costs</t>
  </si>
  <si>
    <t>Standort des Unternehmens</t>
  </si>
  <si>
    <t xml:space="preserve">Namen der Produkte eingeben. Nicht benutzte Einträge löschen oder durch ein paar Leerzeichen ersetzen
</t>
  </si>
  <si>
    <t>Parameter</t>
  </si>
  <si>
    <t>1. Laufendes Konto</t>
  </si>
  <si>
    <t>Saldo zu Beginn der Periode</t>
  </si>
  <si>
    <t xml:space="preserve">   + Erhöhungen</t>
  </si>
  <si>
    <t xml:space="preserve">   - Tilgung</t>
  </si>
  <si>
    <t xml:space="preserve">   Saldo am Ende  der periode</t>
  </si>
  <si>
    <t xml:space="preserve">   Durchschnittswert</t>
  </si>
  <si>
    <t xml:space="preserve">   Zinssatz</t>
  </si>
  <si>
    <t xml:space="preserve">   Zinsen pro Periode</t>
  </si>
  <si>
    <t>3. Darlehen</t>
  </si>
  <si>
    <t>Betriebskapital Finanzierung</t>
  </si>
  <si>
    <t>Summe Zinsen</t>
  </si>
  <si>
    <t xml:space="preserve">2. Gesellschafterdarlehen </t>
  </si>
  <si>
    <t>Summe Tilgung</t>
  </si>
  <si>
    <t>Gewinn- und Verlustrechnung</t>
  </si>
  <si>
    <t>Mieten</t>
  </si>
  <si>
    <t>Büromiete</t>
  </si>
  <si>
    <t>Verwaltung</t>
  </si>
  <si>
    <t>Software-Lizenzen</t>
  </si>
  <si>
    <t>IT-Infrastruktur</t>
  </si>
  <si>
    <t>Bürobedarf</t>
  </si>
  <si>
    <t>Messen</t>
  </si>
  <si>
    <t>Werbematerial (Druck, Online)</t>
  </si>
  <si>
    <t>Agenturen</t>
  </si>
  <si>
    <t>Vertrieb</t>
  </si>
  <si>
    <t>Bewirtung</t>
  </si>
  <si>
    <t>Buchhaltung, Abschluss</t>
  </si>
  <si>
    <t>Gehaltsabrechnung</t>
  </si>
  <si>
    <t>Buchhaltung</t>
  </si>
  <si>
    <t>Jahresabschluss</t>
  </si>
  <si>
    <t>Rechts- und Steuerberatung</t>
  </si>
  <si>
    <t>Rechtsberatung, Gebühren</t>
  </si>
  <si>
    <t>Patentgebühren u.ä.</t>
  </si>
  <si>
    <t>Andere sonstigen Kosten</t>
  </si>
  <si>
    <t>Pesonalrekrutierung</t>
  </si>
  <si>
    <t>IHK / Verbände</t>
  </si>
  <si>
    <t>Versicherungen</t>
  </si>
  <si>
    <t>Produkt-/Betriebshaftpflicht</t>
  </si>
  <si>
    <t>Unfallversicherung</t>
  </si>
  <si>
    <t>Version</t>
  </si>
  <si>
    <t>currently not in use</t>
  </si>
  <si>
    <t>company name</t>
  </si>
  <si>
    <t>Name of the Company</t>
  </si>
  <si>
    <t>years under consideration</t>
  </si>
  <si>
    <t>Prefix for year</t>
  </si>
  <si>
    <t>Year</t>
  </si>
  <si>
    <t>Product Name</t>
  </si>
  <si>
    <t>Product 1</t>
  </si>
  <si>
    <t>Product 2</t>
  </si>
  <si>
    <t>Product 3</t>
  </si>
  <si>
    <t>Product 4</t>
  </si>
  <si>
    <t>Product 5</t>
  </si>
  <si>
    <t>Location</t>
  </si>
  <si>
    <t>Exchange Rate</t>
  </si>
  <si>
    <t>Solidarity Tax</t>
  </si>
  <si>
    <t>Corporpate tax rate</t>
  </si>
  <si>
    <t>Exemption Limit</t>
  </si>
  <si>
    <t>Trade tax surcharge</t>
  </si>
  <si>
    <t>Leverage rate trade tax</t>
  </si>
  <si>
    <t>Trade tax rate</t>
  </si>
  <si>
    <t>Lump sum for discount</t>
  </si>
  <si>
    <t>Presentation of amounts</t>
  </si>
  <si>
    <t>Sales commission</t>
  </si>
  <si>
    <t>sales commission currently not in use</t>
  </si>
  <si>
    <t>Statutory accident insurance contribution</t>
  </si>
  <si>
    <t>Product liability insurance</t>
  </si>
  <si>
    <t>of payroll costs</t>
  </si>
  <si>
    <t>of revenue</t>
  </si>
  <si>
    <t>VAT (full / reduced)</t>
  </si>
  <si>
    <t>Remarks</t>
  </si>
  <si>
    <t>Interest and redemption schedule</t>
  </si>
  <si>
    <t>all amounts in</t>
  </si>
  <si>
    <t>Balance at beginning of period</t>
  </si>
  <si>
    <t>+ Increase</t>
  </si>
  <si>
    <t>- Redemption</t>
  </si>
  <si>
    <t>Balance at end of period</t>
  </si>
  <si>
    <t>Average</t>
  </si>
  <si>
    <t>Interest rate</t>
  </si>
  <si>
    <t>Interest per Period</t>
  </si>
  <si>
    <t>Working capital Financing</t>
  </si>
  <si>
    <t>Suplier</t>
  </si>
  <si>
    <t>Description</t>
  </si>
  <si>
    <t>Development</t>
  </si>
  <si>
    <t>other</t>
  </si>
  <si>
    <t xml:space="preserve">net </t>
  </si>
  <si>
    <t>Total Development gross</t>
  </si>
  <si>
    <t>Meier</t>
  </si>
  <si>
    <t>Remarks:</t>
  </si>
  <si>
    <t>- if a particular supplier is entiteld to a reduced VAT rate insert name in cell "D72" in order to create separate subtotals.</t>
  </si>
  <si>
    <t>- Insert all amounts net of VAT!</t>
  </si>
  <si>
    <t>Other incl. VAT</t>
  </si>
  <si>
    <t>xyz incl. VAT</t>
  </si>
  <si>
    <t>Rentals</t>
  </si>
  <si>
    <t>Office rental</t>
  </si>
  <si>
    <t>Company car</t>
  </si>
  <si>
    <t>Administration</t>
  </si>
  <si>
    <t>Software License</t>
  </si>
  <si>
    <t>IT Infrastructure</t>
  </si>
  <si>
    <t>Telco, Radio, TV</t>
  </si>
  <si>
    <t>Online Marketing Insta, Facebook etc)</t>
  </si>
  <si>
    <t>Fairs</t>
  </si>
  <si>
    <t>PR material (Print, Online)</t>
  </si>
  <si>
    <t>Agencies</t>
  </si>
  <si>
    <t>Reisekosten</t>
  </si>
  <si>
    <t>Travel Costs</t>
  </si>
  <si>
    <t>Hospitality</t>
  </si>
  <si>
    <t>Sales</t>
  </si>
  <si>
    <t>Accounting, financial statements</t>
  </si>
  <si>
    <t>payroll</t>
  </si>
  <si>
    <t>bookkeeping</t>
  </si>
  <si>
    <t>year end closing</t>
  </si>
  <si>
    <t>Legal and Tax Consulting</t>
  </si>
  <si>
    <t>Steuerberatung</t>
  </si>
  <si>
    <t>Tax consulting</t>
  </si>
  <si>
    <t>Legal support, fees</t>
  </si>
  <si>
    <t>Patent fees and the like</t>
  </si>
  <si>
    <t>Other Costs</t>
  </si>
  <si>
    <t>Recruiting</t>
  </si>
  <si>
    <t>Office supplies</t>
  </si>
  <si>
    <t>Associations</t>
  </si>
  <si>
    <t>Insurance</t>
  </si>
  <si>
    <t>Product / business liability</t>
  </si>
  <si>
    <t>Casualty insurance</t>
  </si>
  <si>
    <t>Wages/salaries</t>
  </si>
  <si>
    <t>per Year</t>
  </si>
  <si>
    <t>Increase over previous year</t>
  </si>
  <si>
    <t>Number of employees</t>
  </si>
  <si>
    <t>Total wages/saleries</t>
  </si>
  <si>
    <t>Total Social Security</t>
  </si>
  <si>
    <t>Total payroll costs</t>
  </si>
  <si>
    <t>Total General Manager</t>
  </si>
  <si>
    <t>Total internal employees</t>
  </si>
  <si>
    <t>Total external employees</t>
  </si>
  <si>
    <t>"GF" results in salaries being attributed to management.</t>
  </si>
  <si>
    <t>therof management</t>
  </si>
  <si>
    <t>"Int." means internal, i.e. own employees</t>
  </si>
  <si>
    <t>Since external services are generally reported as "external services" in P+L, it makes more sense to report them under "development costs" and not here.</t>
  </si>
  <si>
    <t>Column "Full time equiv."</t>
  </si>
  <si>
    <t>Enter here how many employees there are in the same position with the same salary. By default, "1.0" is to be entered for a full-time position</t>
  </si>
  <si>
    <t>Column "Position"</t>
  </si>
  <si>
    <t>Here the names of the employees, if known, or simply the position, such as "SW developer", can be entered</t>
  </si>
  <si>
    <t>Salary adjustment</t>
  </si>
  <si>
    <t>In cells AA4 and AN4, percentage increases over the previous year can be entered for all employees together</t>
  </si>
  <si>
    <t>For individual adjustments, this must be done manually by changing the formulas in the respective cells</t>
  </si>
  <si>
    <t>sample customer</t>
  </si>
  <si>
    <t>quarterly subscriptions</t>
  </si>
  <si>
    <t xml:space="preserve"> monthly services</t>
  </si>
  <si>
    <t>Additional lines can be inserted for the individual products. However, these must then also be inserted in the same way for "Revenue Distribution".</t>
  </si>
  <si>
    <t>If there are products that are sold per unit, then the table can be adjusted so that instead of % distribution, the expected number of units in the respective months are entered..
In this case, in the "Prod.-Calc." tab, it requires a calculation of the production costs per unit, which are then multiplied by the monthly unit numbers in "Revenue Distribution".</t>
  </si>
  <si>
    <t>All ines in yellow  should not be deleted. These data are carried forward into the P&amp;L and Liquidity. Make sure that your individual revenue model results in those lines.</t>
  </si>
  <si>
    <t>Revenue/Year</t>
  </si>
  <si>
    <t>Customer</t>
  </si>
  <si>
    <t>Distribution over the months in %</t>
  </si>
  <si>
    <t xml:space="preserve">Revenue Distribution </t>
  </si>
  <si>
    <t>(before commissions)</t>
  </si>
  <si>
    <t>Direct Product Costs</t>
  </si>
  <si>
    <t>Total Direct Product Costs</t>
  </si>
  <si>
    <t>License Pay</t>
  </si>
  <si>
    <t>Total License Pay</t>
  </si>
  <si>
    <t>Note: Possibly include production costs that will only become sales in the following year.</t>
  </si>
  <si>
    <t>Product Calculation</t>
  </si>
  <si>
    <t>all amounts in 1 EUR</t>
  </si>
  <si>
    <t>Start Year</t>
  </si>
  <si>
    <t>Unit Price</t>
  </si>
  <si>
    <t>Component</t>
  </si>
  <si>
    <t>Supplier</t>
  </si>
  <si>
    <t>Test</t>
  </si>
  <si>
    <t>Programmer</t>
  </si>
  <si>
    <t>…ow licenses paid</t>
  </si>
  <si>
    <t>Total Net Revenue</t>
  </si>
  <si>
    <t>All amount are net of VAT</t>
  </si>
  <si>
    <t>Remark</t>
  </si>
  <si>
    <t>all amounts are net of VAT</t>
  </si>
  <si>
    <t>The names of  the months need to stay in German otherwise the "INDEX" formulars wouldn't work</t>
  </si>
  <si>
    <t>Actual</t>
  </si>
  <si>
    <t>Forecast</t>
  </si>
  <si>
    <t xml:space="preserve">     Zinsen </t>
  </si>
  <si>
    <t xml:space="preserve">   Net Revenues + VAT, Downpayments</t>
  </si>
  <si>
    <t>Payments received from ...</t>
  </si>
  <si>
    <t>Einzahlungen  aus …</t>
  </si>
  <si>
    <t>Disbursements for ...</t>
  </si>
  <si>
    <t xml:space="preserve">   Rentals, Leasing</t>
  </si>
  <si>
    <t xml:space="preserve">   License Fees</t>
  </si>
  <si>
    <t xml:space="preserve">   Interest, VAT Reimbursement</t>
  </si>
  <si>
    <t xml:space="preserve">    Grants</t>
  </si>
  <si>
    <t xml:space="preserve">   Research funds</t>
  </si>
  <si>
    <t xml:space="preserve">     Wertpapiere, ausgegebene Darlehen</t>
  </si>
  <si>
    <t xml:space="preserve">   other interest and income</t>
  </si>
  <si>
    <t xml:space="preserve">   Securities, loans issued</t>
  </si>
  <si>
    <t xml:space="preserve">   Holding proceeds</t>
  </si>
  <si>
    <t xml:space="preserve">   Extraordinary income</t>
  </si>
  <si>
    <t xml:space="preserve">   Bank Balance 1.1. of year</t>
  </si>
  <si>
    <t xml:space="preserve">   Material</t>
  </si>
  <si>
    <t xml:space="preserve">   Payroll</t>
  </si>
  <si>
    <t xml:space="preserve">   Interest</t>
  </si>
  <si>
    <t xml:space="preserve">   Other Costs</t>
  </si>
  <si>
    <t xml:space="preserve">   Taxes</t>
  </si>
  <si>
    <t xml:space="preserve">   Extraordinary Expenses</t>
  </si>
  <si>
    <t xml:space="preserve">   Development Costs (incl. VAT)</t>
  </si>
  <si>
    <t xml:space="preserve">   Redemption of Loans</t>
  </si>
  <si>
    <t>Total Payments  Received</t>
  </si>
  <si>
    <t>Total Disbursements</t>
  </si>
  <si>
    <t>Over-/Undercoverage Period</t>
  </si>
  <si>
    <t>Over-/Undercoverage accumulated</t>
  </si>
  <si>
    <t xml:space="preserve">   Shareholder Loan</t>
  </si>
  <si>
    <t xml:space="preserve">   Capital Raise</t>
  </si>
  <si>
    <t xml:space="preserve">   Gesellschafterdarlehen</t>
  </si>
  <si>
    <t xml:space="preserve">   VST-Erklärung</t>
  </si>
  <si>
    <t xml:space="preserve">   Kontokurrent</t>
  </si>
  <si>
    <t xml:space="preserve">   Current Account </t>
  </si>
  <si>
    <t xml:space="preserve">   Kapitalerhöhung</t>
  </si>
  <si>
    <t xml:space="preserve">   Correction to Actual Cash</t>
  </si>
  <si>
    <t>Total Financing</t>
  </si>
  <si>
    <t>Liquidity Period</t>
  </si>
  <si>
    <t>Liquidity Accumulated</t>
  </si>
  <si>
    <t>Remarks on how to use</t>
  </si>
  <si>
    <t>1. Process</t>
  </si>
  <si>
    <t>Fill the tabs in the following sequence</t>
  </si>
  <si>
    <t>Enter here at least the company name, the years considered (only 3 required), the designation of the products and the location.</t>
  </si>
  <si>
    <t>See remarks in the tab</t>
  </si>
  <si>
    <t>In sales planning, annual sales can be specified for any product (customer, customer groups, lump sum). By specifying the % distribution, the expected sales can be assigned to specific months. Production costs and possible license costs are also planned here. Further notes in the tab</t>
  </si>
  <si>
    <t>The indicated positions in the individual categories are only exemplary. However, planning within the categories (rental, leasing, etc.) should make sense, since the total of the category is then assigned to a P+L position. Entries here in Euro, the conversion in k€ is done at other places</t>
  </si>
  <si>
    <t>Development costs are costs that are not own personnel costs, e.g. freelancers, production companies, institutes,… All sorts of external costs</t>
  </si>
  <si>
    <t>2. Further Remarks</t>
  </si>
  <si>
    <t>This calculation would then be used in the tab "Revenues" under "production costs". Currently this is not yet set up</t>
  </si>
  <si>
    <t>Generally, fields with a yellow background are manual input fields, all others contain formulas or references to other tabs.</t>
  </si>
  <si>
    <t>If the tabs mentioned under 1. are filled, the "P+L Detail" and "P+L Overview" is filled automatically</t>
  </si>
  <si>
    <t>No manual intervention should be necessary in the two P+L tabs except for "yellow" fields requiring manual input</t>
  </si>
  <si>
    <t>Business Case for</t>
  </si>
  <si>
    <t>Company Logo</t>
  </si>
  <si>
    <t>annual Planning 20xx - 20yy</t>
  </si>
  <si>
    <t>created</t>
  </si>
  <si>
    <t>changed</t>
  </si>
  <si>
    <t>Author</t>
  </si>
  <si>
    <t>Change Log</t>
  </si>
  <si>
    <t>Profit &amp; Loss Statement (Overview)</t>
  </si>
  <si>
    <t>This overview may be pasted in business plan or pitch deck</t>
  </si>
  <si>
    <t>© Thomas Claussen</t>
  </si>
  <si>
    <t>Payroll Planning</t>
  </si>
  <si>
    <t>Div</t>
  </si>
  <si>
    <t xml:space="preserve">   VAT Declaration</t>
  </si>
  <si>
    <t>on products</t>
  </si>
  <si>
    <t>on licenses</t>
  </si>
  <si>
    <t>on in-App sale</t>
  </si>
  <si>
    <t>Planned Margin</t>
  </si>
  <si>
    <t>Ext.</t>
  </si>
  <si>
    <t>Cleaners</t>
  </si>
  <si>
    <t>Column "Typ"</t>
  </si>
  <si>
    <t>no entry here</t>
  </si>
  <si>
    <t>"Ext." means external employees, e.g. freelancers. If this type is included here, then make sure that its costs are not included again in the "Development Costs" tab. It's suggest to plan these in the "other Costs" tab</t>
  </si>
  <si>
    <t>Employer %</t>
  </si>
  <si>
    <t>product sales in pieces</t>
  </si>
  <si>
    <t>Component 1</t>
  </si>
  <si>
    <t>Dagobert</t>
  </si>
  <si>
    <t>Component 2</t>
  </si>
  <si>
    <t>Daisy</t>
  </si>
  <si>
    <t>Component 3</t>
  </si>
  <si>
    <t>Donald</t>
  </si>
  <si>
    <t>Production Costs Product 1</t>
  </si>
  <si>
    <t>Production Costs Product 2</t>
  </si>
  <si>
    <t>Production Costs Product 3</t>
  </si>
  <si>
    <t>samle customer 1</t>
  </si>
  <si>
    <t>samle customer 2</t>
  </si>
  <si>
    <t xml:space="preserve">    Bank Loan</t>
  </si>
  <si>
    <t>As long as no quarterly values are entered (Y1) actuel = plan</t>
  </si>
  <si>
    <t>Once quarterly actuals are entered place an "x" above  the "Actual" column in row "4". This will then calculate the "Forcast" taking actuals plus remaining plan into account</t>
  </si>
  <si>
    <t>The "Prod.-Calc." tab for calculating production costs is mainly required if there is a countable product and its production costs are to be multiplied by the number of units sold. It can also be used for service related pricing</t>
  </si>
  <si>
    <t>The financing of shortfalls is entered manually in the "Liquidity"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</si>
</sst>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 &quot;DM&quot;;[Red]\-#,##0.00\ &quot;DM&quot;"/>
    <numFmt numFmtId="165" formatCode="0.0"/>
    <numFmt numFmtId="166" formatCode="#,##0.0"/>
    <numFmt numFmtId="167" formatCode="#,##0.000"/>
    <numFmt numFmtId="168" formatCode="#,##0.0000"/>
    <numFmt numFmtId="169" formatCode="#,##0.00&quot;€&quot;"/>
    <numFmt numFmtId="170" formatCode="#,##0&quot;€&quot;"/>
    <numFmt numFmtId="171" formatCode="0.0%"/>
    <numFmt numFmtId="172" formatCode="#,##0.0_€"/>
    <numFmt numFmtId="173" formatCode="mmm"/>
    <numFmt numFmtId="174" formatCode="0.000000%"/>
    <numFmt numFmtId="175" formatCode="#,##0.00\ &quot;€&quot;"/>
    <numFmt numFmtId="176" formatCode="_-[$$-409]* #,##0.00_ ;_-[$$-409]* \-#,##0.00\ ;_-[$$-409]* &quot;-&quot;??_ ;_-@_ "/>
    <numFmt numFmtId="177" formatCode="_-* #,##0.00\ [$€-407]_-;\-* #,##0.00\ [$€-407]_-;_-* &quot;-&quot;??\ [$€-407]_-;_-@_-"/>
    <numFmt numFmtId="178" formatCode="#,##0\ _€"/>
    <numFmt numFmtId="179" formatCode="#,##0\ &quot;€&quot;"/>
    <numFmt numFmtId="180" formatCode="_-* #,##0\ [$€-407]_-;\-* #,##0\ [$€-407]_-;_-* &quot;-&quot;??\ [$€-407]_-;_-@_-"/>
    <numFmt numFmtId="181" formatCode="_-* #,##0_-;\-* #,##0_-;_-* &quot;-&quot;??_-;_-@_-"/>
    <numFmt numFmtId="182" formatCode="#,##0_ ;\-#,##0\ "/>
  </numFmts>
  <fonts count="76">
    <font>
      <sz val="10"/>
      <name val="MS Sans Serif"/>
    </font>
    <font>
      <sz val="11"/>
      <color theme="1"/>
      <name val="Calibri"/>
      <family val="2"/>
      <scheme val="minor"/>
    </font>
    <font>
      <sz val="12"/>
      <color theme="1"/>
      <name val="Calibri"/>
      <family val="2"/>
      <scheme val="minor"/>
    </font>
    <font>
      <sz val="12"/>
      <color theme="1"/>
      <name val="Calibri"/>
      <family val="2"/>
      <scheme val="minor"/>
    </font>
    <font>
      <sz val="10"/>
      <name val="MS Sans Serif"/>
    </font>
    <font>
      <sz val="8"/>
      <name val="Verdana"/>
      <family val="2"/>
    </font>
    <font>
      <sz val="8"/>
      <name val="MS Sans Serif"/>
    </font>
    <font>
      <u/>
      <sz val="10"/>
      <color theme="10"/>
      <name val="MS Sans Serif"/>
    </font>
    <font>
      <u/>
      <sz val="10"/>
      <color theme="11"/>
      <name val="MS Sans Serif"/>
    </font>
    <font>
      <sz val="10"/>
      <name val="Calibri"/>
      <family val="2"/>
      <scheme val="minor"/>
    </font>
    <font>
      <b/>
      <sz val="10"/>
      <name val="Calibri"/>
      <family val="2"/>
      <scheme val="minor"/>
    </font>
    <font>
      <sz val="10"/>
      <color indexed="9"/>
      <name val="Calibri"/>
      <family val="2"/>
      <scheme val="minor"/>
    </font>
    <font>
      <sz val="10"/>
      <color indexed="10"/>
      <name val="Calibri"/>
      <family val="2"/>
      <scheme val="minor"/>
    </font>
    <font>
      <i/>
      <sz val="10"/>
      <name val="Calibri"/>
      <family val="2"/>
      <scheme val="minor"/>
    </font>
    <font>
      <i/>
      <sz val="10"/>
      <color indexed="9"/>
      <name val="Calibri"/>
      <family val="2"/>
      <scheme val="minor"/>
    </font>
    <font>
      <b/>
      <sz val="10"/>
      <color indexed="9"/>
      <name val="Calibri"/>
      <family val="2"/>
      <scheme val="minor"/>
    </font>
    <font>
      <b/>
      <sz val="10"/>
      <color indexed="55"/>
      <name val="Calibri"/>
      <family val="2"/>
      <scheme val="minor"/>
    </font>
    <font>
      <b/>
      <sz val="10"/>
      <color rgb="FFFF0000"/>
      <name val="Calibri"/>
      <family val="2"/>
      <scheme val="minor"/>
    </font>
    <font>
      <sz val="10"/>
      <name val="Calibri"/>
      <family val="2"/>
    </font>
    <font>
      <sz val="10"/>
      <name val="Lato Regular"/>
    </font>
    <font>
      <sz val="9"/>
      <name val="Lato Regular"/>
    </font>
    <font>
      <b/>
      <sz val="12"/>
      <color indexed="55"/>
      <name val="Lato Regular"/>
    </font>
    <font>
      <b/>
      <sz val="10"/>
      <name val="Lato Regular"/>
    </font>
    <font>
      <b/>
      <sz val="14"/>
      <name val="Lato Regular"/>
    </font>
    <font>
      <b/>
      <sz val="10"/>
      <color indexed="55"/>
      <name val="Lato Regular"/>
    </font>
    <font>
      <sz val="10"/>
      <color rgb="FFDEDC00"/>
      <name val="Lato Regular"/>
    </font>
    <font>
      <b/>
      <i/>
      <sz val="10"/>
      <name val="Lato Regular"/>
    </font>
    <font>
      <i/>
      <sz val="10"/>
      <name val="Lato Regular"/>
    </font>
    <font>
      <sz val="10"/>
      <color rgb="FFFF0000"/>
      <name val="Lato Regular"/>
    </font>
    <font>
      <sz val="10"/>
      <color indexed="9"/>
      <name val="Lato Regular"/>
    </font>
    <font>
      <b/>
      <sz val="12"/>
      <color indexed="9"/>
      <name val="Lato Regular"/>
    </font>
    <font>
      <b/>
      <sz val="12"/>
      <name val="Lato Regular"/>
    </font>
    <font>
      <i/>
      <sz val="8"/>
      <name val="Lato Regular"/>
    </font>
    <font>
      <b/>
      <sz val="14"/>
      <color indexed="9"/>
      <name val="Lato Regular"/>
    </font>
    <font>
      <sz val="10"/>
      <color theme="0"/>
      <name val="Lato Regular"/>
    </font>
    <font>
      <b/>
      <i/>
      <sz val="10"/>
      <color indexed="10"/>
      <name val="Lato Regular"/>
    </font>
    <font>
      <sz val="10"/>
      <name val="Lato Regu"/>
    </font>
    <font>
      <b/>
      <sz val="10"/>
      <color indexed="55"/>
      <name val="Lato Regu"/>
    </font>
    <font>
      <b/>
      <sz val="10"/>
      <name val="Lato Regu"/>
    </font>
    <font>
      <b/>
      <sz val="10"/>
      <name val="Lato"/>
      <family val="2"/>
    </font>
    <font>
      <sz val="10"/>
      <name val="Lato"/>
      <family val="2"/>
    </font>
    <font>
      <sz val="10"/>
      <color indexed="9"/>
      <name val="Lato"/>
      <family val="2"/>
    </font>
    <font>
      <sz val="10"/>
      <color indexed="55"/>
      <name val="Lato"/>
      <family val="2"/>
    </font>
    <font>
      <b/>
      <sz val="10"/>
      <color indexed="55"/>
      <name val="Lato"/>
      <family val="2"/>
    </font>
    <font>
      <b/>
      <sz val="36"/>
      <name val="Lato Regular"/>
    </font>
    <font>
      <b/>
      <sz val="16"/>
      <name val="Lato Regular"/>
    </font>
    <font>
      <b/>
      <sz val="9"/>
      <color rgb="FFDEDC00"/>
      <name val="Lato Regular"/>
    </font>
    <font>
      <b/>
      <sz val="9"/>
      <color indexed="55"/>
      <name val="Lato Regular"/>
    </font>
    <font>
      <b/>
      <sz val="9"/>
      <name val="Lato Regular"/>
    </font>
    <font>
      <i/>
      <sz val="9"/>
      <name val="Lato Regular"/>
    </font>
    <font>
      <b/>
      <i/>
      <sz val="9"/>
      <name val="Lato Regular"/>
    </font>
    <font>
      <sz val="9"/>
      <color indexed="10"/>
      <name val="Lato Regular"/>
    </font>
    <font>
      <b/>
      <u/>
      <sz val="9"/>
      <name val="Lato Regular"/>
    </font>
    <font>
      <sz val="9"/>
      <color indexed="9"/>
      <name val="Lato Regular"/>
    </font>
    <font>
      <b/>
      <sz val="9"/>
      <color rgb="FFFF0000"/>
      <name val="Lato Regular"/>
    </font>
    <font>
      <b/>
      <sz val="11"/>
      <name val="Calibri"/>
      <family val="2"/>
      <scheme val="minor"/>
    </font>
    <font>
      <sz val="11"/>
      <color theme="1"/>
      <name val="Calibri"/>
      <family val="2"/>
      <scheme val="minor"/>
    </font>
    <font>
      <b/>
      <sz val="18"/>
      <color theme="1"/>
      <name val="Calibri"/>
      <family val="2"/>
      <scheme val="minor"/>
    </font>
    <font>
      <b/>
      <sz val="11"/>
      <color theme="1"/>
      <name val="Calibri"/>
      <family val="2"/>
      <scheme val="minor"/>
    </font>
    <font>
      <b/>
      <sz val="12"/>
      <color rgb="FFDEDC00"/>
      <name val="Calibri"/>
      <family val="2"/>
      <scheme val="minor"/>
    </font>
    <font>
      <sz val="9"/>
      <color theme="1"/>
      <name val="Calibri"/>
      <family val="2"/>
      <scheme val="minor"/>
    </font>
    <font>
      <sz val="9"/>
      <color rgb="FFFF0000"/>
      <name val="Lato Regular"/>
    </font>
    <font>
      <b/>
      <sz val="10"/>
      <name val="MS Sans Serif"/>
    </font>
    <font>
      <sz val="9"/>
      <color rgb="FF00B050"/>
      <name val="Lato Regular"/>
    </font>
    <font>
      <sz val="9"/>
      <color rgb="FF0070C0"/>
      <name val="Lato Regular"/>
    </font>
    <font>
      <b/>
      <sz val="12"/>
      <color theme="1"/>
      <name val="Calibri"/>
      <family val="2"/>
      <scheme val="minor"/>
    </font>
    <font>
      <b/>
      <sz val="10"/>
      <color theme="1"/>
      <name val="Calibri"/>
      <family val="2"/>
      <scheme val="minor"/>
    </font>
    <font>
      <b/>
      <sz val="16"/>
      <color theme="1"/>
      <name val="Calibri"/>
      <family val="2"/>
      <scheme val="minor"/>
    </font>
    <font>
      <sz val="10"/>
      <color theme="1"/>
      <name val="MS Sans Serif"/>
    </font>
    <font>
      <b/>
      <sz val="14"/>
      <color theme="1"/>
      <name val="Lato Regular"/>
    </font>
    <font>
      <b/>
      <sz val="10"/>
      <color theme="1"/>
      <name val="Lato Regular"/>
    </font>
    <font>
      <sz val="11"/>
      <color rgb="FFFF0000"/>
      <name val="Calibri"/>
      <family val="2"/>
      <scheme val="minor"/>
    </font>
    <font>
      <sz val="10"/>
      <color rgb="FFFF0000"/>
      <name val="Lato"/>
      <family val="2"/>
    </font>
    <font>
      <sz val="12"/>
      <name val="Lato Regular"/>
    </font>
    <font>
      <b/>
      <sz val="16"/>
      <name val="MS Sans Serif"/>
    </font>
    <font>
      <b/>
      <sz val="12"/>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52"/>
        <bgColor indexed="64"/>
      </patternFill>
    </fill>
    <fill>
      <patternFill patternType="solid">
        <fgColor theme="0"/>
        <bgColor indexed="64"/>
      </patternFill>
    </fill>
    <fill>
      <patternFill patternType="solid">
        <fgColor rgb="FF005E5E"/>
        <bgColor indexed="64"/>
      </patternFill>
    </fill>
    <fill>
      <patternFill patternType="solid">
        <fgColor theme="4" tint="0.59999389629810485"/>
        <bgColor indexed="64"/>
      </patternFill>
    </fill>
    <fill>
      <patternFill patternType="solid">
        <fgColor rgb="FFFFFDCA"/>
        <bgColor indexed="64"/>
      </patternFill>
    </fill>
    <fill>
      <patternFill patternType="solid">
        <fgColor rgb="FFFFFF00"/>
        <bgColor indexed="64"/>
      </patternFill>
    </fill>
    <fill>
      <patternFill patternType="solid">
        <fgColor rgb="FFDEDC00"/>
        <bgColor indexed="64"/>
      </patternFill>
    </fill>
    <fill>
      <patternFill patternType="solid">
        <fgColor rgb="FFFFFDCA"/>
        <bgColor rgb="FF000000"/>
      </patternFill>
    </fill>
    <fill>
      <patternFill patternType="solid">
        <fgColor rgb="FFC9DC00"/>
        <bgColor indexed="64"/>
      </patternFill>
    </fill>
    <fill>
      <patternFill patternType="lightGrid">
        <bgColor rgb="FFFFFDCA"/>
      </patternFill>
    </fill>
  </fills>
  <borders count="288">
    <border>
      <left/>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hair">
        <color indexed="53"/>
      </top>
      <bottom style="hair">
        <color indexed="53"/>
      </bottom>
      <diagonal/>
    </border>
    <border>
      <left/>
      <right/>
      <top style="thin">
        <color auto="1"/>
      </top>
      <bottom style="thin">
        <color auto="1"/>
      </bottom>
      <diagonal/>
    </border>
    <border>
      <left style="thin">
        <color indexed="53"/>
      </left>
      <right style="thin">
        <color indexed="53"/>
      </right>
      <top/>
      <bottom/>
      <diagonal/>
    </border>
    <border>
      <left/>
      <right/>
      <top style="hair">
        <color indexed="52"/>
      </top>
      <bottom style="hair">
        <color indexed="52"/>
      </bottom>
      <diagonal/>
    </border>
    <border>
      <left/>
      <right/>
      <top style="hair">
        <color indexed="52"/>
      </top>
      <bottom/>
      <diagonal/>
    </border>
    <border>
      <left/>
      <right/>
      <top/>
      <bottom style="hair">
        <color indexed="52"/>
      </bottom>
      <diagonal/>
    </border>
    <border>
      <left/>
      <right style="thin">
        <color indexed="53"/>
      </right>
      <top/>
      <bottom/>
      <diagonal/>
    </border>
    <border>
      <left style="thin">
        <color indexed="53"/>
      </left>
      <right style="thin">
        <color indexed="53"/>
      </right>
      <top style="thin">
        <color indexed="53"/>
      </top>
      <bottom style="thin">
        <color indexed="53"/>
      </bottom>
      <diagonal/>
    </border>
    <border>
      <left style="thin">
        <color indexed="53"/>
      </left>
      <right/>
      <top/>
      <bottom/>
      <diagonal/>
    </border>
    <border>
      <left/>
      <right/>
      <top style="thin">
        <color indexed="53"/>
      </top>
      <bottom style="thin">
        <color indexed="53"/>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53"/>
      </top>
      <bottom/>
      <diagonal/>
    </border>
    <border>
      <left/>
      <right/>
      <top/>
      <bottom style="medium">
        <color indexed="53"/>
      </bottom>
      <diagonal/>
    </border>
    <border>
      <left style="hair">
        <color indexed="53"/>
      </left>
      <right style="hair">
        <color indexed="53"/>
      </right>
      <top style="hair">
        <color indexed="53"/>
      </top>
      <bottom style="medium">
        <color indexed="53"/>
      </bottom>
      <diagonal/>
    </border>
    <border>
      <left style="hair">
        <color indexed="53"/>
      </left>
      <right style="thin">
        <color indexed="53"/>
      </right>
      <top style="hair">
        <color indexed="53"/>
      </top>
      <bottom style="medium">
        <color indexed="53"/>
      </bottom>
      <diagonal/>
    </border>
    <border>
      <left style="thin">
        <color indexed="53"/>
      </left>
      <right/>
      <top style="thin">
        <color indexed="53"/>
      </top>
      <bottom/>
      <diagonal/>
    </border>
    <border>
      <left style="thin">
        <color indexed="53"/>
      </left>
      <right style="thin">
        <color indexed="53"/>
      </right>
      <top style="thin">
        <color indexed="53"/>
      </top>
      <bottom/>
      <diagonal/>
    </border>
    <border>
      <left style="thin">
        <color indexed="53"/>
      </left>
      <right/>
      <top/>
      <bottom style="hair">
        <color indexed="53"/>
      </bottom>
      <diagonal/>
    </border>
    <border>
      <left style="thin">
        <color indexed="53"/>
      </left>
      <right/>
      <top style="hair">
        <color indexed="53"/>
      </top>
      <bottom style="hair">
        <color indexed="53"/>
      </bottom>
      <diagonal/>
    </border>
    <border>
      <left style="thin">
        <color indexed="53"/>
      </left>
      <right/>
      <top style="thin">
        <color indexed="53"/>
      </top>
      <bottom style="thin">
        <color indexed="53"/>
      </bottom>
      <diagonal/>
    </border>
    <border>
      <left/>
      <right/>
      <top style="hair">
        <color indexed="53"/>
      </top>
      <bottom/>
      <diagonal/>
    </border>
    <border>
      <left style="thin">
        <color indexed="53"/>
      </left>
      <right/>
      <top/>
      <bottom style="hair">
        <color indexed="52"/>
      </bottom>
      <diagonal/>
    </border>
    <border>
      <left style="thin">
        <color indexed="53"/>
      </left>
      <right/>
      <top style="hair">
        <color indexed="52"/>
      </top>
      <bottom style="hair">
        <color indexed="52"/>
      </bottom>
      <diagonal/>
    </border>
    <border>
      <left style="thin">
        <color indexed="53"/>
      </left>
      <right/>
      <top style="hair">
        <color indexed="52"/>
      </top>
      <bottom/>
      <diagonal/>
    </border>
    <border>
      <left style="thin">
        <color indexed="53"/>
      </left>
      <right/>
      <top style="hair">
        <color indexed="53"/>
      </top>
      <bottom/>
      <diagonal/>
    </border>
    <border>
      <left style="thin">
        <color indexed="53"/>
      </left>
      <right/>
      <top/>
      <bottom style="thin">
        <color indexed="53"/>
      </bottom>
      <diagonal/>
    </border>
    <border>
      <left/>
      <right/>
      <top/>
      <bottom style="thin">
        <color indexed="53"/>
      </bottom>
      <diagonal/>
    </border>
    <border>
      <left style="thin">
        <color auto="1"/>
      </left>
      <right style="thin">
        <color indexed="53"/>
      </right>
      <top/>
      <bottom/>
      <diagonal/>
    </border>
    <border>
      <left style="thin">
        <color indexed="53"/>
      </left>
      <right style="thin">
        <color indexed="53"/>
      </right>
      <top style="hair">
        <color indexed="53"/>
      </top>
      <bottom style="hair">
        <color indexed="53"/>
      </bottom>
      <diagonal/>
    </border>
    <border>
      <left/>
      <right style="thin">
        <color indexed="53"/>
      </right>
      <top/>
      <bottom style="medium">
        <color indexed="53"/>
      </bottom>
      <diagonal/>
    </border>
    <border>
      <left style="thin">
        <color indexed="53"/>
      </left>
      <right style="hair">
        <color indexed="53"/>
      </right>
      <top style="hair">
        <color indexed="53"/>
      </top>
      <bottom style="medium">
        <color indexed="53"/>
      </bottom>
      <diagonal/>
    </border>
    <border>
      <left style="thin">
        <color indexed="53"/>
      </left>
      <right style="thin">
        <color indexed="53"/>
      </right>
      <top style="medium">
        <color indexed="53"/>
      </top>
      <bottom style="hair">
        <color indexed="53"/>
      </bottom>
      <diagonal/>
    </border>
    <border>
      <left style="thin">
        <color indexed="53"/>
      </left>
      <right style="thin">
        <color indexed="53"/>
      </right>
      <top style="hair">
        <color indexed="53"/>
      </top>
      <bottom style="thin">
        <color indexed="53"/>
      </bottom>
      <diagonal/>
    </border>
    <border>
      <left style="thin">
        <color indexed="53"/>
      </left>
      <right style="thin">
        <color indexed="53"/>
      </right>
      <top style="thin">
        <color indexed="53"/>
      </top>
      <bottom style="hair">
        <color indexed="53"/>
      </bottom>
      <diagonal/>
    </border>
    <border>
      <left style="thin">
        <color indexed="53"/>
      </left>
      <right style="thin">
        <color indexed="53"/>
      </right>
      <top style="hair">
        <color indexed="53"/>
      </top>
      <bottom/>
      <diagonal/>
    </border>
    <border>
      <left/>
      <right style="thin">
        <color indexed="53"/>
      </right>
      <top style="thin">
        <color indexed="53"/>
      </top>
      <bottom/>
      <diagonal/>
    </border>
    <border>
      <left style="thin">
        <color indexed="53"/>
      </left>
      <right/>
      <top style="thin">
        <color indexed="53"/>
      </top>
      <bottom style="hair">
        <color indexed="53"/>
      </bottom>
      <diagonal/>
    </border>
    <border>
      <left style="thin">
        <color indexed="53"/>
      </left>
      <right style="thin">
        <color indexed="53"/>
      </right>
      <top/>
      <bottom style="hair">
        <color indexed="53"/>
      </bottom>
      <diagonal/>
    </border>
    <border>
      <left style="thin">
        <color indexed="53"/>
      </left>
      <right/>
      <top style="medium">
        <color indexed="53"/>
      </top>
      <bottom style="hair">
        <color indexed="53"/>
      </bottom>
      <diagonal/>
    </border>
    <border>
      <left style="thin">
        <color indexed="53"/>
      </left>
      <right/>
      <top style="hair">
        <color indexed="53"/>
      </top>
      <bottom style="thin">
        <color indexed="53"/>
      </bottom>
      <diagonal/>
    </border>
    <border>
      <left style="thin">
        <color rgb="FFFF6600"/>
      </left>
      <right style="thin">
        <color rgb="FFFF6600"/>
      </right>
      <top style="hair">
        <color rgb="FFFF6600"/>
      </top>
      <bottom style="hair">
        <color rgb="FFFF6600"/>
      </bottom>
      <diagonal/>
    </border>
    <border>
      <left/>
      <right/>
      <top style="medium">
        <color indexed="53"/>
      </top>
      <bottom/>
      <diagonal/>
    </border>
    <border>
      <left/>
      <right style="thin">
        <color rgb="FFFF6600"/>
      </right>
      <top style="hair">
        <color rgb="FFFF6600"/>
      </top>
      <bottom style="hair">
        <color rgb="FFFF6600"/>
      </bottom>
      <diagonal/>
    </border>
    <border>
      <left style="medium">
        <color indexed="53"/>
      </left>
      <right style="medium">
        <color indexed="53"/>
      </right>
      <top style="medium">
        <color indexed="53"/>
      </top>
      <bottom style="medium">
        <color indexed="53"/>
      </bottom>
      <diagonal/>
    </border>
    <border>
      <left style="medium">
        <color indexed="53"/>
      </left>
      <right style="medium">
        <color indexed="53"/>
      </right>
      <top style="medium">
        <color indexed="53"/>
      </top>
      <bottom style="hair">
        <color indexed="53"/>
      </bottom>
      <diagonal/>
    </border>
    <border>
      <left style="medium">
        <color indexed="53"/>
      </left>
      <right style="medium">
        <color indexed="53"/>
      </right>
      <top style="hair">
        <color indexed="53"/>
      </top>
      <bottom style="hair">
        <color indexed="53"/>
      </bottom>
      <diagonal/>
    </border>
    <border>
      <left style="medium">
        <color indexed="53"/>
      </left>
      <right style="medium">
        <color indexed="53"/>
      </right>
      <top style="hair">
        <color indexed="53"/>
      </top>
      <bottom style="thin">
        <color indexed="53"/>
      </bottom>
      <diagonal/>
    </border>
    <border>
      <left style="medium">
        <color indexed="53"/>
      </left>
      <right style="medium">
        <color indexed="53"/>
      </right>
      <top style="thin">
        <color indexed="53"/>
      </top>
      <bottom style="thin">
        <color indexed="53"/>
      </bottom>
      <diagonal/>
    </border>
    <border>
      <left style="medium">
        <color indexed="53"/>
      </left>
      <right style="medium">
        <color indexed="53"/>
      </right>
      <top/>
      <bottom style="medium">
        <color indexed="53"/>
      </bottom>
      <diagonal/>
    </border>
    <border>
      <left style="medium">
        <color indexed="53"/>
      </left>
      <right style="medium">
        <color indexed="53"/>
      </right>
      <top/>
      <bottom/>
      <diagonal/>
    </border>
    <border>
      <left style="medium">
        <color indexed="53"/>
      </left>
      <right style="medium">
        <color indexed="53"/>
      </right>
      <top/>
      <bottom style="thin">
        <color indexed="53"/>
      </bottom>
      <diagonal/>
    </border>
    <border>
      <left style="medium">
        <color indexed="53"/>
      </left>
      <right style="medium">
        <color indexed="53"/>
      </right>
      <top style="thin">
        <color indexed="53"/>
      </top>
      <bottom style="hair">
        <color indexed="53"/>
      </bottom>
      <diagonal/>
    </border>
    <border>
      <left style="medium">
        <color indexed="53"/>
      </left>
      <right style="medium">
        <color indexed="53"/>
      </right>
      <top style="thin">
        <color indexed="53"/>
      </top>
      <bottom/>
      <diagonal/>
    </border>
    <border>
      <left style="medium">
        <color indexed="53"/>
      </left>
      <right style="medium">
        <color indexed="53"/>
      </right>
      <top/>
      <bottom style="hair">
        <color indexed="53"/>
      </bottom>
      <diagonal/>
    </border>
    <border>
      <left style="medium">
        <color indexed="53"/>
      </left>
      <right style="medium">
        <color indexed="53"/>
      </right>
      <top style="hair">
        <color indexed="53"/>
      </top>
      <bottom/>
      <diagonal/>
    </border>
    <border>
      <left style="medium">
        <color indexed="53"/>
      </left>
      <right style="medium">
        <color indexed="53"/>
      </right>
      <top style="thin">
        <color indexed="53"/>
      </top>
      <bottom style="medium">
        <color indexed="53"/>
      </bottom>
      <diagonal/>
    </border>
    <border>
      <left/>
      <right/>
      <top style="medium">
        <color indexed="53"/>
      </top>
      <bottom style="hair">
        <color indexed="53"/>
      </bottom>
      <diagonal/>
    </border>
    <border>
      <left/>
      <right/>
      <top style="hair">
        <color indexed="53"/>
      </top>
      <bottom style="thin">
        <color indexed="53"/>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indexed="53"/>
      </top>
      <bottom/>
      <diagonal/>
    </border>
    <border>
      <left style="thin">
        <color rgb="FF0D3C3A"/>
      </left>
      <right style="thin">
        <color rgb="FF0D3C3A"/>
      </right>
      <top/>
      <bottom/>
      <diagonal/>
    </border>
    <border>
      <left style="thin">
        <color rgb="FF0D3C3A"/>
      </left>
      <right/>
      <top/>
      <bottom/>
      <diagonal/>
    </border>
    <border>
      <left/>
      <right style="thin">
        <color rgb="FF0D3C3A"/>
      </right>
      <top/>
      <bottom/>
      <diagonal/>
    </border>
    <border>
      <left style="thin">
        <color rgb="FF005E5E"/>
      </left>
      <right style="thin">
        <color rgb="FF005E5E"/>
      </right>
      <top style="thin">
        <color rgb="FF005E5E"/>
      </top>
      <bottom style="thin">
        <color rgb="FF005E5E"/>
      </bottom>
      <diagonal/>
    </border>
    <border>
      <left style="thin">
        <color rgb="FF005E5E"/>
      </left>
      <right style="thin">
        <color rgb="FF005E5E"/>
      </right>
      <top/>
      <bottom/>
      <diagonal/>
    </border>
    <border>
      <left style="thin">
        <color rgb="FF005E5E"/>
      </left>
      <right style="thin">
        <color rgb="FF005E5E"/>
      </right>
      <top/>
      <bottom style="thin">
        <color rgb="FF005E5E"/>
      </bottom>
      <diagonal/>
    </border>
    <border>
      <left style="thin">
        <color rgb="FF005E5E"/>
      </left>
      <right style="thin">
        <color rgb="FF005E5E"/>
      </right>
      <top style="thin">
        <color rgb="FF005E5E"/>
      </top>
      <bottom/>
      <diagonal/>
    </border>
    <border>
      <left style="thin">
        <color rgb="FF005E5E"/>
      </left>
      <right style="thin">
        <color rgb="FF005E5E"/>
      </right>
      <top style="thin">
        <color rgb="FF005E5E"/>
      </top>
      <bottom style="hair">
        <color rgb="FF005E5E"/>
      </bottom>
      <diagonal/>
    </border>
    <border>
      <left style="thin">
        <color rgb="FF005E5E"/>
      </left>
      <right style="thin">
        <color rgb="FF005E5E"/>
      </right>
      <top style="hair">
        <color rgb="FF005E5E"/>
      </top>
      <bottom style="hair">
        <color rgb="FF005E5E"/>
      </bottom>
      <diagonal/>
    </border>
    <border>
      <left style="thin">
        <color rgb="FF005E5E"/>
      </left>
      <right style="thin">
        <color rgb="FF005E5E"/>
      </right>
      <top style="hair">
        <color rgb="FF005E5E"/>
      </top>
      <bottom/>
      <diagonal/>
    </border>
    <border>
      <left style="thin">
        <color rgb="FF005E5E"/>
      </left>
      <right style="thin">
        <color rgb="FF005E5E"/>
      </right>
      <top style="hair">
        <color rgb="FF005E5E"/>
      </top>
      <bottom style="thin">
        <color rgb="FF005E5E"/>
      </bottom>
      <diagonal/>
    </border>
    <border>
      <left style="thin">
        <color rgb="FF005E5E"/>
      </left>
      <right style="thin">
        <color rgb="FF005E5E"/>
      </right>
      <top/>
      <bottom style="hair">
        <color rgb="FF005E5E"/>
      </bottom>
      <diagonal/>
    </border>
    <border>
      <left/>
      <right/>
      <top/>
      <bottom style="thin">
        <color rgb="FF005E5E"/>
      </bottom>
      <diagonal/>
    </border>
    <border>
      <left/>
      <right style="thin">
        <color rgb="FF005E5E"/>
      </right>
      <top/>
      <bottom style="thin">
        <color rgb="FF005E5E"/>
      </bottom>
      <diagonal/>
    </border>
    <border>
      <left/>
      <right style="thin">
        <color rgb="FF005E5E"/>
      </right>
      <top style="thin">
        <color rgb="FF005E5E"/>
      </top>
      <bottom style="thin">
        <color rgb="FF005E5E"/>
      </bottom>
      <diagonal/>
    </border>
    <border>
      <left/>
      <right/>
      <top style="thin">
        <color rgb="FF005E5E"/>
      </top>
      <bottom style="thin">
        <color rgb="FF005E5E"/>
      </bottom>
      <diagonal/>
    </border>
    <border>
      <left style="thin">
        <color rgb="FF005E5E"/>
      </left>
      <right/>
      <top style="thin">
        <color rgb="FF005E5E"/>
      </top>
      <bottom style="thin">
        <color rgb="FF005E5E"/>
      </bottom>
      <diagonal/>
    </border>
    <border>
      <left style="thin">
        <color rgb="FF005E5E"/>
      </left>
      <right style="thin">
        <color auto="1"/>
      </right>
      <top/>
      <bottom style="thin">
        <color rgb="FF005E5E"/>
      </bottom>
      <diagonal/>
    </border>
    <border>
      <left style="thin">
        <color rgb="FF005E5E"/>
      </left>
      <right/>
      <top style="thin">
        <color rgb="FF005E5E"/>
      </top>
      <bottom/>
      <diagonal/>
    </border>
    <border>
      <left/>
      <right/>
      <top style="thin">
        <color rgb="FF005E5E"/>
      </top>
      <bottom/>
      <diagonal/>
    </border>
    <border>
      <left/>
      <right style="thin">
        <color rgb="FF005E5E"/>
      </right>
      <top style="thin">
        <color rgb="FF005E5E"/>
      </top>
      <bottom/>
      <diagonal/>
    </border>
    <border>
      <left style="thin">
        <color rgb="FF005E5E"/>
      </left>
      <right/>
      <top/>
      <bottom/>
      <diagonal/>
    </border>
    <border>
      <left/>
      <right style="thin">
        <color rgb="FF005E5E"/>
      </right>
      <top/>
      <bottom/>
      <diagonal/>
    </border>
    <border>
      <left style="thin">
        <color rgb="FF005E5E"/>
      </left>
      <right style="thin">
        <color auto="1"/>
      </right>
      <top/>
      <bottom/>
      <diagonal/>
    </border>
    <border>
      <left style="thin">
        <color rgb="FF005E5E"/>
      </left>
      <right/>
      <top/>
      <bottom style="thin">
        <color rgb="FF005E5E"/>
      </bottom>
      <diagonal/>
    </border>
    <border>
      <left/>
      <right style="thin">
        <color rgb="FF005E5E"/>
      </right>
      <top style="hair">
        <color rgb="FF005E5E"/>
      </top>
      <bottom style="hair">
        <color rgb="FF005E5E"/>
      </bottom>
      <diagonal/>
    </border>
    <border>
      <left/>
      <right style="thin">
        <color rgb="FF0D3C3A"/>
      </right>
      <top style="thin">
        <color rgb="FF005E5E"/>
      </top>
      <bottom/>
      <diagonal/>
    </border>
    <border>
      <left style="thin">
        <color rgb="FF005E5E"/>
      </left>
      <right/>
      <top style="thin">
        <color rgb="FF005E5E"/>
      </top>
      <bottom style="hair">
        <color rgb="FF005E5E"/>
      </bottom>
      <diagonal/>
    </border>
    <border>
      <left style="thin">
        <color rgb="FF005E5E"/>
      </left>
      <right/>
      <top style="hair">
        <color rgb="FF005E5E"/>
      </top>
      <bottom style="hair">
        <color rgb="FF005E5E"/>
      </bottom>
      <diagonal/>
    </border>
    <border>
      <left style="thin">
        <color rgb="FF005E5E"/>
      </left>
      <right/>
      <top style="hair">
        <color rgb="FF005E5E"/>
      </top>
      <bottom style="thin">
        <color rgb="FF005E5E"/>
      </bottom>
      <diagonal/>
    </border>
    <border>
      <left style="thin">
        <color rgb="FF005E5E"/>
      </left>
      <right/>
      <top style="medium">
        <color rgb="FF005E5E"/>
      </top>
      <bottom style="medium">
        <color rgb="FF005E5E"/>
      </bottom>
      <diagonal/>
    </border>
    <border>
      <left/>
      <right style="thin">
        <color rgb="FF005E5E"/>
      </right>
      <top style="medium">
        <color rgb="FF005E5E"/>
      </top>
      <bottom style="medium">
        <color rgb="FF005E5E"/>
      </bottom>
      <diagonal/>
    </border>
    <border>
      <left/>
      <right style="thin">
        <color rgb="FF005E5E"/>
      </right>
      <top style="thin">
        <color rgb="FF005E5E"/>
      </top>
      <bottom style="medium">
        <color rgb="FF005E5E"/>
      </bottom>
      <diagonal/>
    </border>
    <border>
      <left style="thin">
        <color rgb="FF005E5E"/>
      </left>
      <right/>
      <top style="medium">
        <color rgb="FF005E5E"/>
      </top>
      <bottom style="hair">
        <color rgb="FF005E5E"/>
      </bottom>
      <diagonal/>
    </border>
    <border>
      <left/>
      <right style="thin">
        <color rgb="FF005E5E"/>
      </right>
      <top style="medium">
        <color rgb="FF005E5E"/>
      </top>
      <bottom style="hair">
        <color rgb="FF005E5E"/>
      </bottom>
      <diagonal/>
    </border>
    <border>
      <left style="thin">
        <color rgb="FF005E5E"/>
      </left>
      <right style="thin">
        <color rgb="FF005E5E"/>
      </right>
      <top style="thin">
        <color rgb="FF005E5E"/>
      </top>
      <bottom style="medium">
        <color rgb="FF005E5E"/>
      </bottom>
      <diagonal/>
    </border>
    <border>
      <left style="thin">
        <color rgb="FF005E5E"/>
      </left>
      <right style="thin">
        <color rgb="FF005E5E"/>
      </right>
      <top style="medium">
        <color rgb="FF005E5E"/>
      </top>
      <bottom style="hair">
        <color rgb="FF005E5E"/>
      </bottom>
      <diagonal/>
    </border>
    <border>
      <left style="thin">
        <color rgb="FF005E5E"/>
      </left>
      <right/>
      <top style="hair">
        <color rgb="FF005E5E"/>
      </top>
      <bottom/>
      <diagonal/>
    </border>
    <border>
      <left/>
      <right style="thin">
        <color rgb="FF005E5E"/>
      </right>
      <top style="hair">
        <color rgb="FF005E5E"/>
      </top>
      <bottom/>
      <diagonal/>
    </border>
    <border>
      <left/>
      <right style="medium">
        <color rgb="FF005E5E"/>
      </right>
      <top/>
      <bottom/>
      <diagonal/>
    </border>
    <border>
      <left style="thin">
        <color rgb="FF005E5E"/>
      </left>
      <right style="medium">
        <color rgb="FF005E5E"/>
      </right>
      <top/>
      <bottom style="thin">
        <color rgb="FF005E5E"/>
      </bottom>
      <diagonal/>
    </border>
    <border>
      <left style="thin">
        <color rgb="FF005E5E"/>
      </left>
      <right style="medium">
        <color rgb="FF005E5E"/>
      </right>
      <top/>
      <bottom style="hair">
        <color rgb="FF005E5E"/>
      </bottom>
      <diagonal/>
    </border>
    <border>
      <left style="thin">
        <color rgb="FF005E5E"/>
      </left>
      <right style="medium">
        <color rgb="FF005E5E"/>
      </right>
      <top style="hair">
        <color rgb="FF005E5E"/>
      </top>
      <bottom style="hair">
        <color rgb="FF005E5E"/>
      </bottom>
      <diagonal/>
    </border>
    <border>
      <left style="thin">
        <color rgb="FF005E5E"/>
      </left>
      <right style="medium">
        <color rgb="FF005E5E"/>
      </right>
      <top style="hair">
        <color rgb="FF005E5E"/>
      </top>
      <bottom style="thin">
        <color rgb="FF005E5E"/>
      </bottom>
      <diagonal/>
    </border>
    <border>
      <left style="thin">
        <color rgb="FF005E5E"/>
      </left>
      <right style="medium">
        <color rgb="FF005E5E"/>
      </right>
      <top style="thin">
        <color rgb="FF005E5E"/>
      </top>
      <bottom style="thin">
        <color rgb="FF005E5E"/>
      </bottom>
      <diagonal/>
    </border>
    <border>
      <left style="medium">
        <color rgb="FF005E5E"/>
      </left>
      <right style="medium">
        <color rgb="FF005E5E"/>
      </right>
      <top style="thin">
        <color rgb="FF005E5E"/>
      </top>
      <bottom style="thin">
        <color rgb="FF005E5E"/>
      </bottom>
      <diagonal/>
    </border>
    <border>
      <left style="medium">
        <color rgb="FF005E5E"/>
      </left>
      <right style="medium">
        <color rgb="FF005E5E"/>
      </right>
      <top style="hair">
        <color rgb="FF005E5E"/>
      </top>
      <bottom style="hair">
        <color rgb="FF005E5E"/>
      </bottom>
      <diagonal/>
    </border>
    <border>
      <left style="medium">
        <color rgb="FF005E5E"/>
      </left>
      <right style="medium">
        <color rgb="FF005E5E"/>
      </right>
      <top style="hair">
        <color rgb="FF005E5E"/>
      </top>
      <bottom style="thin">
        <color rgb="FF005E5E"/>
      </bottom>
      <diagonal/>
    </border>
    <border>
      <left style="medium">
        <color rgb="FF005E5E"/>
      </left>
      <right style="medium">
        <color rgb="FF005E5E"/>
      </right>
      <top style="thin">
        <color rgb="FF005E5E"/>
      </top>
      <bottom/>
      <diagonal/>
    </border>
    <border>
      <left style="thin">
        <color rgb="FF005E5E"/>
      </left>
      <right style="medium">
        <color rgb="FF005E5E"/>
      </right>
      <top style="thin">
        <color rgb="FF005E5E"/>
      </top>
      <bottom style="hair">
        <color rgb="FF005E5E"/>
      </bottom>
      <diagonal/>
    </border>
    <border>
      <left/>
      <right style="medium">
        <color rgb="FF005E5E"/>
      </right>
      <top style="hair">
        <color rgb="FF005E5E"/>
      </top>
      <bottom style="hair">
        <color rgb="FF005E5E"/>
      </bottom>
      <diagonal/>
    </border>
    <border>
      <left/>
      <right style="medium">
        <color rgb="FF005E5E"/>
      </right>
      <top style="hair">
        <color rgb="FF005E5E"/>
      </top>
      <bottom style="thin">
        <color rgb="FF005E5E"/>
      </bottom>
      <diagonal/>
    </border>
    <border>
      <left style="medium">
        <color rgb="FF005E5E"/>
      </left>
      <right style="medium">
        <color rgb="FF005E5E"/>
      </right>
      <top/>
      <bottom/>
      <diagonal/>
    </border>
    <border>
      <left style="medium">
        <color rgb="FF005E5E"/>
      </left>
      <right style="medium">
        <color rgb="FF005E5E"/>
      </right>
      <top/>
      <bottom style="hair">
        <color rgb="FF005E5E"/>
      </bottom>
      <diagonal/>
    </border>
    <border>
      <left/>
      <right style="thin">
        <color rgb="FF005E5E"/>
      </right>
      <top/>
      <bottom style="hair">
        <color rgb="FF005E5E"/>
      </bottom>
      <diagonal/>
    </border>
    <border>
      <left/>
      <right style="thin">
        <color rgb="FF005E5E"/>
      </right>
      <top style="thin">
        <color rgb="FF005E5E"/>
      </top>
      <bottom style="hair">
        <color rgb="FF005E5E"/>
      </bottom>
      <diagonal/>
    </border>
    <border>
      <left/>
      <right/>
      <top style="thin">
        <color rgb="FF005E5E"/>
      </top>
      <bottom style="hair">
        <color rgb="FF005E5E"/>
      </bottom>
      <diagonal/>
    </border>
    <border>
      <left/>
      <right style="thin">
        <color rgb="FF005E5E"/>
      </right>
      <top style="hair">
        <color rgb="FF005E5E"/>
      </top>
      <bottom style="thin">
        <color rgb="FF005E5E"/>
      </bottom>
      <diagonal/>
    </border>
    <border>
      <left style="thin">
        <color indexed="64"/>
      </left>
      <right style="thin">
        <color indexed="64"/>
      </right>
      <top style="thin">
        <color indexed="64"/>
      </top>
      <bottom style="thin">
        <color indexed="64"/>
      </bottom>
      <diagonal/>
    </border>
    <border>
      <left style="thin">
        <color rgb="FF005E5E"/>
      </left>
      <right style="thin">
        <color rgb="FF005E5E"/>
      </right>
      <top style="medium">
        <color rgb="FF005E5E"/>
      </top>
      <bottom style="thin">
        <color rgb="FF005E5E"/>
      </bottom>
      <diagonal/>
    </border>
    <border>
      <left/>
      <right style="thin">
        <color rgb="FF005E5E"/>
      </right>
      <top/>
      <bottom style="medium">
        <color rgb="FF005E5E"/>
      </bottom>
      <diagonal/>
    </border>
    <border>
      <left/>
      <right/>
      <top/>
      <bottom style="medium">
        <color rgb="FF005E5E"/>
      </bottom>
      <diagonal/>
    </border>
    <border>
      <left style="thin">
        <color rgb="FF005E5E"/>
      </left>
      <right style="thin">
        <color rgb="FF005E5E"/>
      </right>
      <top style="medium">
        <color rgb="FF005E5E"/>
      </top>
      <bottom style="medium">
        <color rgb="FF005E5E"/>
      </bottom>
      <diagonal/>
    </border>
    <border>
      <left/>
      <right/>
      <top style="medium">
        <color rgb="FF005E5E"/>
      </top>
      <bottom style="medium">
        <color rgb="FF005E5E"/>
      </bottom>
      <diagonal/>
    </border>
    <border>
      <left style="thin">
        <color rgb="FF005E5E"/>
      </left>
      <right/>
      <top style="medium">
        <color rgb="FF005E5E"/>
      </top>
      <bottom/>
      <diagonal/>
    </border>
    <border>
      <left/>
      <right/>
      <top style="medium">
        <color rgb="FF005E5E"/>
      </top>
      <bottom/>
      <diagonal/>
    </border>
    <border>
      <left style="thin">
        <color rgb="FF005E5E"/>
      </left>
      <right/>
      <top/>
      <bottom style="medium">
        <color rgb="FF005E5E"/>
      </bottom>
      <diagonal/>
    </border>
    <border>
      <left style="hair">
        <color rgb="FF005E5E"/>
      </left>
      <right style="thin">
        <color rgb="FF005E5E"/>
      </right>
      <top style="medium">
        <color rgb="FF005E5E"/>
      </top>
      <bottom style="hair">
        <color rgb="FF005E5E"/>
      </bottom>
      <diagonal/>
    </border>
    <border>
      <left style="hair">
        <color rgb="FF005E5E"/>
      </left>
      <right style="thin">
        <color rgb="FF005E5E"/>
      </right>
      <top style="hair">
        <color rgb="FF005E5E"/>
      </top>
      <bottom style="medium">
        <color rgb="FF005E5E"/>
      </bottom>
      <diagonal/>
    </border>
    <border>
      <left style="thin">
        <color rgb="FF005E5E"/>
      </left>
      <right style="thin">
        <color rgb="FF005E5E"/>
      </right>
      <top style="hair">
        <color rgb="FF005E5E"/>
      </top>
      <bottom style="medium">
        <color rgb="FF005E5E"/>
      </bottom>
      <diagonal/>
    </border>
    <border>
      <left style="thin">
        <color rgb="FF005E5E"/>
      </left>
      <right style="thin">
        <color rgb="FF005E5E"/>
      </right>
      <top/>
      <bottom style="medium">
        <color rgb="FF005E5E"/>
      </bottom>
      <diagonal/>
    </border>
    <border>
      <left/>
      <right style="thin">
        <color rgb="FF005E5E"/>
      </right>
      <top style="hair">
        <color rgb="FF005E5E"/>
      </top>
      <bottom style="medium">
        <color rgb="FF005E5E"/>
      </bottom>
      <diagonal/>
    </border>
    <border>
      <left style="thin">
        <color rgb="FF005E5E"/>
      </left>
      <right/>
      <top style="hair">
        <color indexed="53"/>
      </top>
      <bottom/>
      <diagonal/>
    </border>
    <border>
      <left/>
      <right/>
      <top style="medium">
        <color rgb="FF005E5E"/>
      </top>
      <bottom style="thin">
        <color rgb="FF005E5E"/>
      </bottom>
      <diagonal/>
    </border>
    <border>
      <left/>
      <right style="thin">
        <color rgb="FF005E5E"/>
      </right>
      <top style="medium">
        <color rgb="FF005E5E"/>
      </top>
      <bottom style="thin">
        <color rgb="FF005E5E"/>
      </bottom>
      <diagonal/>
    </border>
    <border>
      <left/>
      <right/>
      <top style="thin">
        <color rgb="FF005E5E"/>
      </top>
      <bottom style="medium">
        <color rgb="FF005E5E"/>
      </bottom>
      <diagonal/>
    </border>
    <border>
      <left/>
      <right/>
      <top style="hair">
        <color rgb="FF005E5E"/>
      </top>
      <bottom style="hair">
        <color rgb="FF005E5E"/>
      </bottom>
      <diagonal/>
    </border>
    <border>
      <left style="thin">
        <color rgb="FF005E5E"/>
      </left>
      <right/>
      <top style="medium">
        <color rgb="FF005E5E"/>
      </top>
      <bottom style="thin">
        <color rgb="FF005E5E"/>
      </bottom>
      <diagonal/>
    </border>
    <border>
      <left style="thin">
        <color rgb="FF005E5E"/>
      </left>
      <right/>
      <top style="thin">
        <color rgb="FF005E5E"/>
      </top>
      <bottom style="medium">
        <color rgb="FF005E5E"/>
      </bottom>
      <diagonal/>
    </border>
    <border>
      <left style="medium">
        <color rgb="FF005E5E"/>
      </left>
      <right style="thin">
        <color rgb="FF005E5E"/>
      </right>
      <top/>
      <bottom/>
      <diagonal/>
    </border>
    <border>
      <left/>
      <right style="medium">
        <color rgb="FF005E5E"/>
      </right>
      <top style="medium">
        <color rgb="FF005E5E"/>
      </top>
      <bottom/>
      <diagonal/>
    </border>
    <border>
      <left style="thin">
        <color rgb="FF005E5E"/>
      </left>
      <right style="hair">
        <color rgb="FF005E5E"/>
      </right>
      <top style="medium">
        <color rgb="FF005E5E"/>
      </top>
      <bottom style="hair">
        <color rgb="FF005E5E"/>
      </bottom>
      <diagonal/>
    </border>
    <border>
      <left style="hair">
        <color rgb="FF005E5E"/>
      </left>
      <right/>
      <top style="medium">
        <color rgb="FF005E5E"/>
      </top>
      <bottom style="hair">
        <color rgb="FF005E5E"/>
      </bottom>
      <diagonal/>
    </border>
    <border>
      <left style="thin">
        <color rgb="FF005E5E"/>
      </left>
      <right style="hair">
        <color rgb="FF005E5E"/>
      </right>
      <top style="hair">
        <color rgb="FF005E5E"/>
      </top>
      <bottom style="hair">
        <color rgb="FF005E5E"/>
      </bottom>
      <diagonal/>
    </border>
    <border>
      <left style="hair">
        <color rgb="FF005E5E"/>
      </left>
      <right/>
      <top style="hair">
        <color rgb="FF005E5E"/>
      </top>
      <bottom style="hair">
        <color rgb="FF005E5E"/>
      </bottom>
      <diagonal/>
    </border>
    <border>
      <left/>
      <right style="thin">
        <color rgb="FFFF6600"/>
      </right>
      <top/>
      <bottom/>
      <diagonal/>
    </border>
    <border>
      <left style="thin">
        <color auto="1"/>
      </left>
      <right/>
      <top style="thin">
        <color rgb="FF005E5E"/>
      </top>
      <bottom style="thin">
        <color rgb="FF005E5E"/>
      </bottom>
      <diagonal/>
    </border>
    <border>
      <left style="thin">
        <color rgb="FF005E5E"/>
      </left>
      <right style="thin">
        <color auto="1"/>
      </right>
      <top style="thin">
        <color rgb="FF005E5E"/>
      </top>
      <bottom style="thin">
        <color rgb="FF005E5E"/>
      </bottom>
      <diagonal/>
    </border>
    <border>
      <left style="thin">
        <color rgb="FF005E5E"/>
      </left>
      <right/>
      <top/>
      <bottom style="thin">
        <color auto="1"/>
      </bottom>
      <diagonal/>
    </border>
    <border>
      <left/>
      <right style="thin">
        <color rgb="FF005E5E"/>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right style="medium">
        <color rgb="FF005E5E"/>
      </right>
      <top/>
      <bottom style="hair">
        <color rgb="FF005E5E"/>
      </bottom>
      <diagonal/>
    </border>
    <border>
      <left style="medium">
        <color rgb="FF005E5E"/>
      </left>
      <right style="medium">
        <color rgb="FF005E5E"/>
      </right>
      <top style="hair">
        <color rgb="FF005E5E"/>
      </top>
      <bottom style="thin">
        <color indexed="64"/>
      </bottom>
      <diagonal/>
    </border>
    <border>
      <left/>
      <right style="medium">
        <color rgb="FF005E5E"/>
      </right>
      <top style="thin">
        <color indexed="64"/>
      </top>
      <bottom style="thin">
        <color indexed="64"/>
      </bottom>
      <diagonal/>
    </border>
    <border>
      <left style="thin">
        <color rgb="FF005E5E"/>
      </left>
      <right style="medium">
        <color rgb="FF005E5E"/>
      </right>
      <top style="hair">
        <color rgb="FF005E5E"/>
      </top>
      <bottom/>
      <diagonal/>
    </border>
    <border>
      <left/>
      <right style="thin">
        <color rgb="FF005E5E"/>
      </right>
      <top style="thin">
        <color indexed="64"/>
      </top>
      <bottom style="thin">
        <color indexed="64"/>
      </bottom>
      <diagonal/>
    </border>
    <border>
      <left style="thin">
        <color rgb="FF005E5E"/>
      </left>
      <right style="thin">
        <color rgb="FF005E5E"/>
      </right>
      <top style="thin">
        <color indexed="64"/>
      </top>
      <bottom style="thin">
        <color indexed="64"/>
      </bottom>
      <diagonal/>
    </border>
    <border>
      <left style="thin">
        <color rgb="FF005E5E"/>
      </left>
      <right style="medium">
        <color rgb="FF005E5E"/>
      </right>
      <top style="thin">
        <color rgb="FF005E5E"/>
      </top>
      <bottom/>
      <diagonal/>
    </border>
    <border>
      <left style="thin">
        <color rgb="FF005E5E"/>
      </left>
      <right style="thin">
        <color rgb="FF005E5E"/>
      </right>
      <top style="hair">
        <color rgb="FF005E5E"/>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auto="1"/>
      </bottom>
      <diagonal/>
    </border>
    <border>
      <left style="thin">
        <color rgb="FF005E5E"/>
      </left>
      <right style="thin">
        <color rgb="FF005E5E"/>
      </right>
      <top/>
      <bottom style="thin">
        <color indexed="64"/>
      </bottom>
      <diagonal/>
    </border>
    <border>
      <left style="thin">
        <color rgb="FF0D3C3A"/>
      </left>
      <right/>
      <top/>
      <bottom style="thin">
        <color indexed="64"/>
      </bottom>
      <diagonal/>
    </border>
    <border>
      <left/>
      <right style="thin">
        <color rgb="FF005E5E"/>
      </right>
      <top style="thin">
        <color rgb="FF005E5E"/>
      </top>
      <bottom style="dotted">
        <color rgb="FF005E5E"/>
      </bottom>
      <diagonal/>
    </border>
    <border>
      <left/>
      <right style="thin">
        <color rgb="FF005E5E"/>
      </right>
      <top style="dotted">
        <color rgb="FF005E5E"/>
      </top>
      <bottom style="dotted">
        <color rgb="FF005E5E"/>
      </bottom>
      <diagonal/>
    </border>
    <border>
      <left/>
      <right style="thin">
        <color rgb="FF005E5E"/>
      </right>
      <top style="hair">
        <color rgb="FF005E5E"/>
      </top>
      <bottom style="thin">
        <color indexed="64"/>
      </bottom>
      <diagonal/>
    </border>
    <border>
      <left style="thin">
        <color auto="1"/>
      </left>
      <right style="thin">
        <color indexed="64"/>
      </right>
      <top style="thin">
        <color rgb="FF005E5E"/>
      </top>
      <bottom/>
      <diagonal/>
    </border>
    <border>
      <left style="thin">
        <color auto="1"/>
      </left>
      <right style="thin">
        <color indexed="64"/>
      </right>
      <top/>
      <bottom/>
      <diagonal/>
    </border>
    <border>
      <left style="thin">
        <color indexed="64"/>
      </left>
      <right style="thin">
        <color indexed="64"/>
      </right>
      <top style="thin">
        <color auto="1"/>
      </top>
      <bottom/>
      <diagonal/>
    </border>
    <border>
      <left style="thin">
        <color indexed="53"/>
      </left>
      <right/>
      <top/>
      <bottom/>
      <diagonal/>
    </border>
    <border>
      <left style="thin">
        <color indexed="64"/>
      </left>
      <right style="thin">
        <color rgb="FF005E5E"/>
      </right>
      <top style="thin">
        <color indexed="64"/>
      </top>
      <bottom style="thin">
        <color indexed="64"/>
      </bottom>
      <diagonal/>
    </border>
    <border>
      <left style="thin">
        <color rgb="FF005E5E"/>
      </left>
      <right style="thin">
        <color rgb="FF005E5E"/>
      </right>
      <top style="thin">
        <color indexed="64"/>
      </top>
      <bottom style="thin">
        <color indexed="64"/>
      </bottom>
      <diagonal/>
    </border>
    <border>
      <left style="thin">
        <color rgb="FF005E5E"/>
      </left>
      <right style="thin">
        <color indexed="64"/>
      </right>
      <top style="thin">
        <color indexed="64"/>
      </top>
      <bottom style="thin">
        <color indexed="64"/>
      </bottom>
      <diagonal/>
    </border>
    <border>
      <left/>
      <right style="thin">
        <color rgb="FF005E33"/>
      </right>
      <top/>
      <bottom/>
      <diagonal/>
    </border>
    <border>
      <left style="thin">
        <color indexed="53"/>
      </left>
      <right style="thin">
        <color indexed="53"/>
      </right>
      <top/>
      <bottom/>
      <diagonal/>
    </border>
    <border>
      <left style="hair">
        <color auto="1"/>
      </left>
      <right style="hair">
        <color auto="1"/>
      </right>
      <top style="hair">
        <color auto="1"/>
      </top>
      <bottom style="hair">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dotted">
        <color auto="1"/>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thin">
        <color indexed="64"/>
      </top>
      <bottom style="dotted">
        <color auto="1"/>
      </bottom>
      <diagonal/>
    </border>
    <border>
      <left style="hair">
        <color indexed="64"/>
      </left>
      <right style="thin">
        <color indexed="64"/>
      </right>
      <top style="thin">
        <color indexed="64"/>
      </top>
      <bottom style="dotted">
        <color auto="1"/>
      </bottom>
      <diagonal/>
    </border>
    <border>
      <left style="hair">
        <color indexed="64"/>
      </left>
      <right style="thin">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hair">
        <color indexed="64"/>
      </left>
      <right style="thin">
        <color indexed="64"/>
      </right>
      <top/>
      <bottom style="dotted">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5E5E"/>
      </left>
      <right/>
      <top/>
      <bottom style="hair">
        <color rgb="FF005E5E"/>
      </bottom>
      <diagonal/>
    </border>
    <border>
      <left/>
      <right/>
      <top style="hair">
        <color rgb="FF005E5E"/>
      </top>
      <bottom style="thin">
        <color rgb="FF005E5E"/>
      </bottom>
      <diagonal/>
    </border>
    <border>
      <left/>
      <right/>
      <top style="hair">
        <color rgb="FF005E5E"/>
      </top>
      <bottom style="thin">
        <color indexed="64"/>
      </bottom>
      <diagonal/>
    </border>
    <border>
      <left/>
      <right style="thin">
        <color indexed="64"/>
      </right>
      <top/>
      <bottom style="thin">
        <color rgb="FF005E5E"/>
      </bottom>
      <diagonal/>
    </border>
    <border>
      <left/>
      <right style="thin">
        <color rgb="FF005E5E"/>
      </right>
      <top style="thin">
        <color indexed="64"/>
      </top>
      <bottom/>
      <diagonal/>
    </border>
    <border>
      <left style="thin">
        <color indexed="64"/>
      </left>
      <right style="thin">
        <color auto="1"/>
      </right>
      <top/>
      <bottom style="thin">
        <color rgb="FF005E5E"/>
      </bottom>
      <diagonal/>
    </border>
    <border>
      <left/>
      <right style="thin">
        <color indexed="64"/>
      </right>
      <top style="thin">
        <color rgb="FF005E5E"/>
      </top>
      <bottom style="thin">
        <color rgb="FF005E5E"/>
      </bottom>
      <diagonal/>
    </border>
    <border>
      <left style="thin">
        <color rgb="FF005E5E"/>
      </left>
      <right style="thin">
        <color indexed="64"/>
      </right>
      <top style="hair">
        <color rgb="FF005E5E"/>
      </top>
      <bottom style="hair">
        <color rgb="FF005E5E"/>
      </bottom>
      <diagonal/>
    </border>
    <border>
      <left style="thin">
        <color rgb="FF005E5E"/>
      </left>
      <right style="thin">
        <color indexed="64"/>
      </right>
      <top style="hair">
        <color rgb="FF005E5E"/>
      </top>
      <bottom style="thin">
        <color rgb="FF005E5E"/>
      </bottom>
      <diagonal/>
    </border>
    <border>
      <left style="thin">
        <color rgb="FF005E5E"/>
      </left>
      <right style="thin">
        <color indexed="64"/>
      </right>
      <top style="thin">
        <color rgb="FF005E5E"/>
      </top>
      <bottom/>
      <diagonal/>
    </border>
    <border>
      <left style="thin">
        <color rgb="FF005E5E"/>
      </left>
      <right style="thin">
        <color rgb="FF005E5E"/>
      </right>
      <top style="thin">
        <color indexed="64"/>
      </top>
      <bottom style="hair">
        <color rgb="FF005E5E"/>
      </bottom>
      <diagonal/>
    </border>
    <border>
      <left style="thin">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rgb="FF005E33"/>
      </left>
      <right/>
      <top style="thin">
        <color rgb="FF005E5E"/>
      </top>
      <bottom/>
      <diagonal/>
    </border>
    <border>
      <left style="thin">
        <color indexed="64"/>
      </left>
      <right style="thin">
        <color rgb="FF005E5E"/>
      </right>
      <top/>
      <bottom style="thin">
        <color indexed="64"/>
      </bottom>
      <diagonal/>
    </border>
    <border>
      <left/>
      <right style="thin">
        <color rgb="FF005E33"/>
      </right>
      <top style="thin">
        <color indexed="64"/>
      </top>
      <bottom/>
      <diagonal/>
    </border>
    <border>
      <left style="thin">
        <color indexed="53"/>
      </left>
      <right style="thin">
        <color indexed="64"/>
      </right>
      <top/>
      <bottom/>
      <diagonal/>
    </border>
    <border>
      <left/>
      <right style="thin">
        <color rgb="FF005E33"/>
      </right>
      <top/>
      <bottom style="thin">
        <color indexed="64"/>
      </bottom>
      <diagonal/>
    </border>
    <border>
      <left/>
      <right/>
      <top style="thin">
        <color auto="1"/>
      </top>
      <bottom style="thin">
        <color rgb="FF005E5E"/>
      </bottom>
      <diagonal/>
    </border>
    <border>
      <left style="thin">
        <color rgb="FF005E5E"/>
      </left>
      <right style="hair">
        <color rgb="FF005E5E"/>
      </right>
      <top style="hair">
        <color rgb="FF005E5E"/>
      </top>
      <bottom/>
      <diagonal/>
    </border>
    <border>
      <left style="hair">
        <color rgb="FF005E5E"/>
      </left>
      <right/>
      <top style="hair">
        <color rgb="FF005E5E"/>
      </top>
      <bottom/>
      <diagonal/>
    </border>
    <border>
      <left style="medium">
        <color indexed="64"/>
      </left>
      <right style="hair">
        <color rgb="FF005E5E"/>
      </right>
      <top style="medium">
        <color indexed="64"/>
      </top>
      <bottom style="medium">
        <color indexed="64"/>
      </bottom>
      <diagonal/>
    </border>
    <border>
      <left style="thin">
        <color rgb="FF005E5E"/>
      </left>
      <right style="thin">
        <color rgb="FF005E5E"/>
      </right>
      <top style="thin">
        <color theme="1"/>
      </top>
      <bottom style="hair">
        <color rgb="FF005E5E"/>
      </bottom>
      <diagonal/>
    </border>
    <border>
      <left/>
      <right style="thin">
        <color indexed="53"/>
      </right>
      <top/>
      <bottom style="thin">
        <color rgb="FF005E5E"/>
      </bottom>
      <diagonal/>
    </border>
    <border>
      <left style="thin">
        <color indexed="53"/>
      </left>
      <right style="thin">
        <color indexed="53"/>
      </right>
      <top/>
      <bottom style="thin">
        <color rgb="FF005E5E"/>
      </bottom>
      <diagonal/>
    </border>
    <border>
      <left style="thin">
        <color indexed="64"/>
      </left>
      <right style="thin">
        <color indexed="64"/>
      </right>
      <top style="thin">
        <color indexed="64"/>
      </top>
      <bottom style="thin">
        <color rgb="FF005E5E"/>
      </bottom>
      <diagonal/>
    </border>
    <border>
      <left style="thin">
        <color indexed="64"/>
      </left>
      <right style="thin">
        <color indexed="64"/>
      </right>
      <top style="thin">
        <color rgb="FF005E5E"/>
      </top>
      <bottom style="thin">
        <color rgb="FF005E5E"/>
      </bottom>
      <diagonal/>
    </border>
    <border>
      <left/>
      <right/>
      <top style="hair">
        <color indexed="64"/>
      </top>
      <bottom style="hair">
        <color indexed="64"/>
      </bottom>
      <diagonal/>
    </border>
    <border>
      <left/>
      <right/>
      <top style="thin">
        <color indexed="64"/>
      </top>
      <bottom style="dotted">
        <color indexed="64"/>
      </bottom>
      <diagonal/>
    </border>
    <border>
      <left/>
      <right/>
      <top/>
      <bottom style="dotted">
        <color auto="1"/>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bottom/>
      <diagonal/>
    </border>
    <border>
      <left style="thin">
        <color indexed="64"/>
      </left>
      <right/>
      <top style="thin">
        <color rgb="FF005E5E"/>
      </top>
      <bottom style="hair">
        <color rgb="FF005E5E"/>
      </bottom>
      <diagonal/>
    </border>
    <border>
      <left style="thin">
        <color indexed="64"/>
      </left>
      <right/>
      <top style="hair">
        <color rgb="FF005E5E"/>
      </top>
      <bottom style="hair">
        <color rgb="FF005E5E"/>
      </bottom>
      <diagonal/>
    </border>
    <border>
      <left style="thin">
        <color indexed="64"/>
      </left>
      <right/>
      <top style="hair">
        <color rgb="FF005E5E"/>
      </top>
      <bottom/>
      <diagonal/>
    </border>
    <border>
      <left style="thin">
        <color indexed="64"/>
      </left>
      <right/>
      <top/>
      <bottom style="hair">
        <color rgb="FF005E5E"/>
      </bottom>
      <diagonal/>
    </border>
    <border>
      <left style="thin">
        <color indexed="64"/>
      </left>
      <right/>
      <top style="hair">
        <color rgb="FF005E5E"/>
      </top>
      <bottom style="thin">
        <color rgb="FF005E5E"/>
      </bottom>
      <diagonal/>
    </border>
    <border>
      <left style="thin">
        <color indexed="64"/>
      </left>
      <right/>
      <top/>
      <bottom style="thin">
        <color rgb="FF005E5E"/>
      </bottom>
      <diagonal/>
    </border>
    <border>
      <left style="thin">
        <color indexed="64"/>
      </left>
      <right style="thin">
        <color indexed="64"/>
      </right>
      <top style="thin">
        <color rgb="FF005E5E"/>
      </top>
      <bottom style="hair">
        <color rgb="FF005E5E"/>
      </bottom>
      <diagonal/>
    </border>
    <border>
      <left style="thin">
        <color indexed="64"/>
      </left>
      <right style="thin">
        <color indexed="64"/>
      </right>
      <top style="hair">
        <color rgb="FF005E5E"/>
      </top>
      <bottom style="hair">
        <color rgb="FF005E5E"/>
      </bottom>
      <diagonal/>
    </border>
    <border>
      <left style="thin">
        <color indexed="64"/>
      </left>
      <right style="thin">
        <color indexed="64"/>
      </right>
      <top style="hair">
        <color rgb="FF005E5E"/>
      </top>
      <bottom/>
      <diagonal/>
    </border>
    <border>
      <left style="thin">
        <color indexed="64"/>
      </left>
      <right style="thin">
        <color indexed="64"/>
      </right>
      <top/>
      <bottom style="hair">
        <color rgb="FF005E5E"/>
      </bottom>
      <diagonal/>
    </border>
    <border>
      <left style="thin">
        <color indexed="64"/>
      </left>
      <right style="thin">
        <color indexed="64"/>
      </right>
      <top style="hair">
        <color rgb="FF005E5E"/>
      </top>
      <bottom style="thin">
        <color rgb="FF005E5E"/>
      </bottom>
      <diagonal/>
    </border>
    <border>
      <left style="thin">
        <color rgb="FF005E5E"/>
      </left>
      <right/>
      <top style="hair">
        <color rgb="FF005E5E"/>
      </top>
      <bottom style="thin">
        <color indexed="64"/>
      </bottom>
      <diagonal/>
    </border>
    <border>
      <left style="thin">
        <color indexed="64"/>
      </left>
      <right style="thin">
        <color indexed="64"/>
      </right>
      <top style="hair">
        <color rgb="FF005E5E"/>
      </top>
      <bottom style="thin">
        <color indexed="64"/>
      </bottom>
      <diagonal/>
    </border>
    <border>
      <left style="thin">
        <color indexed="64"/>
      </left>
      <right style="thin">
        <color indexed="64"/>
      </right>
      <top style="hair">
        <color indexed="64"/>
      </top>
      <bottom style="hair">
        <color rgb="FF005E5E"/>
      </bottom>
      <diagonal/>
    </border>
    <border>
      <left style="thin">
        <color indexed="64"/>
      </left>
      <right style="thin">
        <color indexed="64"/>
      </right>
      <top style="thin">
        <color rgb="FF005E5E"/>
      </top>
      <bottom style="hair">
        <color indexed="64"/>
      </bottom>
      <diagonal/>
    </border>
    <border>
      <left style="thin">
        <color indexed="64"/>
      </left>
      <right style="thin">
        <color indexed="64"/>
      </right>
      <top style="hair">
        <color indexed="64"/>
      </top>
      <bottom style="hair">
        <color indexed="64"/>
      </bottom>
      <diagonal/>
    </border>
    <border>
      <left style="medium">
        <color rgb="FF005E5E"/>
      </left>
      <right style="medium">
        <color rgb="FF005E5E"/>
      </right>
      <top style="thin">
        <color indexed="64"/>
      </top>
      <bottom style="hair">
        <color rgb="FF005E5E"/>
      </bottom>
      <diagonal/>
    </border>
  </borders>
  <cellStyleXfs count="1928">
    <xf numFmtId="0" fontId="0" fillId="0" borderId="0"/>
    <xf numFmtId="9" fontId="4" fillId="0" borderId="0" applyFont="0" applyFill="0" applyBorder="0" applyAlignment="0" applyProtection="0"/>
    <xf numFmtId="164" fontId="4"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4" fillId="0" borderId="0"/>
    <xf numFmtId="0" fontId="56" fillId="0" borderId="0"/>
    <xf numFmtId="9" fontId="56" fillId="0" borderId="0" applyFont="0" applyFill="0" applyBorder="0" applyAlignment="0" applyProtection="0"/>
    <xf numFmtId="43" fontId="4" fillId="0" borderId="0" applyFont="0" applyFill="0" applyBorder="0" applyAlignment="0" applyProtection="0"/>
  </cellStyleXfs>
  <cellXfs count="1323">
    <xf numFmtId="0" fontId="0" fillId="0" borderId="0" xfId="0"/>
    <xf numFmtId="0" fontId="10" fillId="0" borderId="39" xfId="0" applyFont="1" applyBorder="1" applyAlignment="1">
      <alignment horizontal="right" wrapText="1"/>
    </xf>
    <xf numFmtId="166" fontId="9" fillId="0" borderId="43" xfId="0" applyNumberFormat="1" applyFont="1" applyBorder="1"/>
    <xf numFmtId="170" fontId="10" fillId="0" borderId="0" xfId="0" applyNumberFormat="1" applyFont="1" applyAlignment="1">
      <alignment horizontal="left"/>
    </xf>
    <xf numFmtId="3" fontId="10" fillId="0" borderId="10" xfId="0" applyNumberFormat="1" applyFont="1" applyBorder="1" applyAlignment="1">
      <alignment horizontal="right"/>
    </xf>
    <xf numFmtId="3" fontId="9" fillId="0" borderId="0" xfId="0" applyNumberFormat="1" applyFont="1"/>
    <xf numFmtId="3" fontId="9" fillId="0" borderId="1" xfId="0" applyNumberFormat="1" applyFont="1" applyBorder="1"/>
    <xf numFmtId="3" fontId="9" fillId="0" borderId="0" xfId="0" applyNumberFormat="1" applyFont="1" applyAlignment="1">
      <alignment wrapText="1"/>
    </xf>
    <xf numFmtId="3" fontId="10" fillId="0" borderId="20" xfId="0" applyNumberFormat="1" applyFont="1" applyBorder="1"/>
    <xf numFmtId="3" fontId="10" fillId="0" borderId="10" xfId="0" applyNumberFormat="1" applyFont="1" applyBorder="1"/>
    <xf numFmtId="3" fontId="11" fillId="0" borderId="0" xfId="0" applyNumberFormat="1" applyFont="1"/>
    <xf numFmtId="3" fontId="9" fillId="0" borderId="3" xfId="0" applyNumberFormat="1" applyFont="1" applyBorder="1"/>
    <xf numFmtId="3" fontId="10" fillId="0" borderId="0" xfId="0" applyNumberFormat="1" applyFont="1" applyAlignment="1">
      <alignment horizontal="right" wrapText="1"/>
    </xf>
    <xf numFmtId="3" fontId="10" fillId="0" borderId="0" xfId="0" applyNumberFormat="1" applyFont="1" applyAlignment="1">
      <alignment wrapText="1"/>
    </xf>
    <xf numFmtId="0" fontId="10" fillId="0" borderId="22" xfId="0" applyFont="1" applyBorder="1" applyAlignment="1">
      <alignment horizontal="right" wrapText="1"/>
    </xf>
    <xf numFmtId="0" fontId="10" fillId="0" borderId="53" xfId="0" applyFont="1" applyBorder="1" applyAlignment="1">
      <alignment horizontal="right" wrapText="1"/>
    </xf>
    <xf numFmtId="0" fontId="10" fillId="0" borderId="40" xfId="0" applyFont="1" applyBorder="1" applyAlignment="1">
      <alignment horizontal="right" wrapText="1"/>
    </xf>
    <xf numFmtId="0" fontId="10" fillId="0" borderId="23" xfId="0" applyFont="1" applyBorder="1" applyAlignment="1">
      <alignment horizontal="right" wrapText="1"/>
    </xf>
    <xf numFmtId="0" fontId="10" fillId="0" borderId="24" xfId="0" applyFont="1" applyBorder="1" applyAlignment="1">
      <alignment horizontal="right" wrapText="1"/>
    </xf>
    <xf numFmtId="3" fontId="9" fillId="0" borderId="41" xfId="0" applyNumberFormat="1" applyFont="1" applyBorder="1" applyAlignment="1">
      <alignment wrapText="1"/>
    </xf>
    <xf numFmtId="3" fontId="10" fillId="0" borderId="11" xfId="0" applyNumberFormat="1" applyFont="1" applyBorder="1" applyAlignment="1">
      <alignment wrapText="1"/>
    </xf>
    <xf numFmtId="166" fontId="9" fillId="0" borderId="41" xfId="0" applyNumberFormat="1" applyFont="1" applyBorder="1"/>
    <xf numFmtId="166" fontId="9" fillId="0" borderId="48" xfId="0" applyNumberFormat="1" applyFont="1" applyBorder="1"/>
    <xf numFmtId="166" fontId="9" fillId="0" borderId="54" xfId="0" applyNumberFormat="1" applyFont="1" applyBorder="1"/>
    <xf numFmtId="3" fontId="10" fillId="0" borderId="15" xfId="0" applyNumberFormat="1" applyFont="1" applyBorder="1" applyAlignment="1">
      <alignment wrapText="1"/>
    </xf>
    <xf numFmtId="166" fontId="9" fillId="0" borderId="3" xfId="0" applyNumberFormat="1" applyFont="1" applyBorder="1"/>
    <xf numFmtId="3" fontId="9" fillId="0" borderId="38" xfId="0" applyNumberFormat="1" applyFont="1" applyBorder="1" applyAlignment="1">
      <alignment wrapText="1"/>
    </xf>
    <xf numFmtId="3" fontId="9" fillId="0" borderId="11" xfId="0" applyNumberFormat="1" applyFont="1" applyBorder="1" applyAlignment="1">
      <alignment wrapText="1"/>
    </xf>
    <xf numFmtId="3" fontId="9" fillId="0" borderId="38" xfId="0" applyNumberFormat="1" applyFont="1" applyBorder="1"/>
    <xf numFmtId="3" fontId="9" fillId="0" borderId="28" xfId="0" applyNumberFormat="1" applyFont="1" applyBorder="1"/>
    <xf numFmtId="3" fontId="9" fillId="0" borderId="55" xfId="0" applyNumberFormat="1" applyFont="1" applyBorder="1"/>
    <xf numFmtId="3" fontId="9" fillId="0" borderId="15" xfId="0" applyNumberFormat="1" applyFont="1" applyBorder="1" applyAlignment="1">
      <alignment wrapText="1"/>
    </xf>
    <xf numFmtId="166" fontId="9" fillId="0" borderId="38" xfId="0" applyNumberFormat="1" applyFont="1" applyBorder="1"/>
    <xf numFmtId="166" fontId="9" fillId="0" borderId="28" xfId="0" applyNumberFormat="1" applyFont="1" applyBorder="1"/>
    <xf numFmtId="166" fontId="9" fillId="0" borderId="55" xfId="0" applyNumberFormat="1" applyFont="1" applyBorder="1"/>
    <xf numFmtId="166" fontId="10" fillId="0" borderId="15" xfId="0" applyNumberFormat="1" applyFont="1" applyBorder="1" applyAlignment="1">
      <alignment wrapText="1"/>
    </xf>
    <xf numFmtId="4" fontId="9" fillId="0" borderId="3" xfId="0" applyNumberFormat="1" applyFont="1" applyBorder="1"/>
    <xf numFmtId="3" fontId="9" fillId="0" borderId="42" xfId="0" applyNumberFormat="1" applyFont="1" applyBorder="1" applyAlignment="1">
      <alignment wrapText="1"/>
    </xf>
    <xf numFmtId="166" fontId="9" fillId="0" borderId="42" xfId="0" applyNumberFormat="1" applyFont="1" applyBorder="1" applyAlignment="1">
      <alignment wrapText="1"/>
    </xf>
    <xf numFmtId="166" fontId="9" fillId="0" borderId="49" xfId="0" applyNumberFormat="1" applyFont="1" applyBorder="1" applyAlignment="1">
      <alignment wrapText="1"/>
    </xf>
    <xf numFmtId="166" fontId="9" fillId="0" borderId="56" xfId="0" applyNumberFormat="1" applyFont="1" applyBorder="1" applyAlignment="1">
      <alignment wrapText="1"/>
    </xf>
    <xf numFmtId="166" fontId="9" fillId="0" borderId="15" xfId="0" applyNumberFormat="1" applyFont="1" applyBorder="1" applyAlignment="1">
      <alignment wrapText="1"/>
    </xf>
    <xf numFmtId="3" fontId="9" fillId="0" borderId="3" xfId="0" applyNumberFormat="1" applyFont="1" applyBorder="1" applyAlignment="1">
      <alignment wrapText="1"/>
    </xf>
    <xf numFmtId="3" fontId="9" fillId="0" borderId="29" xfId="0" applyNumberFormat="1" applyFont="1" applyBorder="1" applyAlignment="1">
      <alignment wrapText="1"/>
    </xf>
    <xf numFmtId="166" fontId="10" fillId="0" borderId="16" xfId="0" applyNumberFormat="1" applyFont="1" applyBorder="1"/>
    <xf numFmtId="166" fontId="10" fillId="0" borderId="29" xfId="0" applyNumberFormat="1" applyFont="1" applyBorder="1"/>
    <xf numFmtId="166" fontId="10" fillId="0" borderId="57" xfId="0" applyNumberFormat="1" applyFont="1" applyBorder="1"/>
    <xf numFmtId="166" fontId="10" fillId="0" borderId="3" xfId="0" applyNumberFormat="1" applyFont="1" applyBorder="1"/>
    <xf numFmtId="3" fontId="9" fillId="0" borderId="31" xfId="0" applyNumberFormat="1" applyFont="1" applyBorder="1" applyAlignment="1">
      <alignment wrapText="1"/>
    </xf>
    <xf numFmtId="3" fontId="9" fillId="0" borderId="32" xfId="0" applyNumberFormat="1" applyFont="1" applyBorder="1" applyAlignment="1">
      <alignment horizontal="left"/>
    </xf>
    <xf numFmtId="4" fontId="9" fillId="0" borderId="38" xfId="0" applyNumberFormat="1" applyFont="1" applyBorder="1"/>
    <xf numFmtId="4" fontId="9" fillId="0" borderId="28" xfId="0" applyNumberFormat="1" applyFont="1" applyBorder="1"/>
    <xf numFmtId="3" fontId="9" fillId="0" borderId="33" xfId="0" applyNumberFormat="1" applyFont="1" applyBorder="1" applyAlignment="1">
      <alignment wrapText="1"/>
    </xf>
    <xf numFmtId="3" fontId="9" fillId="0" borderId="49" xfId="0" applyNumberFormat="1" applyFont="1" applyBorder="1" applyAlignment="1">
      <alignment wrapText="1"/>
    </xf>
    <xf numFmtId="3" fontId="10" fillId="0" borderId="1" xfId="0" applyNumberFormat="1" applyFont="1" applyBorder="1" applyAlignment="1">
      <alignment vertical="center"/>
    </xf>
    <xf numFmtId="3" fontId="10" fillId="4" borderId="0" xfId="0" applyNumberFormat="1" applyFont="1" applyFill="1" applyAlignment="1">
      <alignment vertical="center" wrapText="1"/>
    </xf>
    <xf numFmtId="166" fontId="10" fillId="4" borderId="45" xfId="0" applyNumberFormat="1" applyFont="1" applyFill="1" applyBorder="1" applyAlignment="1">
      <alignment vertical="center"/>
    </xf>
    <xf numFmtId="166" fontId="10" fillId="4" borderId="21" xfId="0" applyNumberFormat="1" applyFont="1" applyFill="1" applyBorder="1" applyAlignment="1">
      <alignment vertical="center"/>
    </xf>
    <xf numFmtId="166" fontId="10" fillId="4" borderId="59" xfId="0" applyNumberFormat="1" applyFont="1" applyFill="1" applyBorder="1" applyAlignment="1">
      <alignment vertical="center"/>
    </xf>
    <xf numFmtId="166" fontId="10" fillId="0" borderId="3" xfId="0" applyNumberFormat="1" applyFont="1" applyBorder="1" applyAlignment="1">
      <alignment vertical="center"/>
    </xf>
    <xf numFmtId="3" fontId="10" fillId="0" borderId="0" xfId="0" applyNumberFormat="1" applyFont="1" applyAlignment="1">
      <alignment vertical="center"/>
    </xf>
    <xf numFmtId="3" fontId="9" fillId="0" borderId="1" xfId="0" applyNumberFormat="1" applyFont="1" applyBorder="1" applyAlignment="1">
      <alignment horizontal="left" vertical="center"/>
    </xf>
    <xf numFmtId="3" fontId="9" fillId="0" borderId="35" xfId="0" applyNumberFormat="1" applyFont="1" applyBorder="1" applyAlignment="1">
      <alignment horizontal="left" wrapText="1"/>
    </xf>
    <xf numFmtId="3" fontId="9" fillId="0" borderId="11" xfId="0" applyNumberFormat="1" applyFont="1" applyBorder="1" applyAlignment="1">
      <alignment horizontal="left" vertical="center" wrapText="1"/>
    </xf>
    <xf numFmtId="166" fontId="9" fillId="0" borderId="11" xfId="0" applyNumberFormat="1" applyFont="1" applyBorder="1" applyAlignment="1">
      <alignment wrapText="1"/>
    </xf>
    <xf numFmtId="3" fontId="9" fillId="0" borderId="3" xfId="0" applyNumberFormat="1" applyFont="1" applyBorder="1" applyAlignment="1">
      <alignment horizontal="left" vertical="center"/>
    </xf>
    <xf numFmtId="3" fontId="9" fillId="0" borderId="0" xfId="0" applyNumberFormat="1" applyFont="1" applyAlignment="1">
      <alignment horizontal="left" vertical="center"/>
    </xf>
    <xf numFmtId="168" fontId="9" fillId="0" borderId="0" xfId="0" applyNumberFormat="1" applyFont="1"/>
    <xf numFmtId="3" fontId="9" fillId="0" borderId="34" xfId="0" quotePrefix="1" applyNumberFormat="1" applyFont="1" applyBorder="1"/>
    <xf numFmtId="4" fontId="9" fillId="0" borderId="58" xfId="0" applyNumberFormat="1" applyFont="1" applyBorder="1"/>
    <xf numFmtId="4" fontId="9" fillId="0" borderId="59" xfId="0" applyNumberFormat="1" applyFont="1" applyBorder="1"/>
    <xf numFmtId="3" fontId="9" fillId="0" borderId="0" xfId="0" applyNumberFormat="1" applyFont="1" applyAlignment="1">
      <alignment horizontal="right" wrapText="1"/>
    </xf>
    <xf numFmtId="166" fontId="9" fillId="0" borderId="0" xfId="0" applyNumberFormat="1" applyFont="1"/>
    <xf numFmtId="1" fontId="9" fillId="0" borderId="0" xfId="0" applyNumberFormat="1" applyFont="1" applyAlignment="1">
      <alignment horizontal="right" wrapText="1"/>
    </xf>
    <xf numFmtId="166" fontId="10" fillId="4" borderId="26" xfId="0" applyNumberFormat="1" applyFont="1" applyFill="1" applyBorder="1" applyAlignment="1">
      <alignment vertical="center"/>
    </xf>
    <xf numFmtId="166" fontId="10" fillId="4" borderId="25" xfId="0" applyNumberFormat="1" applyFont="1" applyFill="1" applyBorder="1" applyAlignment="1">
      <alignment vertical="center"/>
    </xf>
    <xf numFmtId="3" fontId="10" fillId="0" borderId="3" xfId="0" applyNumberFormat="1" applyFont="1" applyBorder="1" applyAlignment="1">
      <alignment vertical="center"/>
    </xf>
    <xf numFmtId="3" fontId="10" fillId="0" borderId="1" xfId="0" applyNumberFormat="1" applyFont="1" applyBorder="1"/>
    <xf numFmtId="3" fontId="10" fillId="0" borderId="35" xfId="0" applyNumberFormat="1" applyFont="1" applyBorder="1" applyAlignment="1">
      <alignment wrapText="1"/>
    </xf>
    <xf numFmtId="166" fontId="10" fillId="0" borderId="36" xfId="0" applyNumberFormat="1" applyFont="1" applyBorder="1"/>
    <xf numFmtId="166" fontId="10" fillId="0" borderId="59" xfId="0" applyNumberFormat="1" applyFont="1" applyBorder="1"/>
    <xf numFmtId="166" fontId="10" fillId="0" borderId="60" xfId="0" applyNumberFormat="1" applyFont="1" applyBorder="1"/>
    <xf numFmtId="166" fontId="10" fillId="0" borderId="35" xfId="0" applyNumberFormat="1" applyFont="1" applyBorder="1"/>
    <xf numFmtId="3" fontId="10" fillId="0" borderId="3" xfId="0" applyNumberFormat="1" applyFont="1" applyBorder="1"/>
    <xf numFmtId="3" fontId="10" fillId="0" borderId="0" xfId="0" applyNumberFormat="1" applyFont="1"/>
    <xf numFmtId="168" fontId="10" fillId="0" borderId="0" xfId="0" applyNumberFormat="1" applyFont="1"/>
    <xf numFmtId="166" fontId="9" fillId="0" borderId="61" xfId="0" applyNumberFormat="1" applyFont="1" applyBorder="1"/>
    <xf numFmtId="166" fontId="9" fillId="0" borderId="46" xfId="0" applyNumberFormat="1" applyFont="1" applyBorder="1"/>
    <xf numFmtId="3" fontId="9" fillId="0" borderId="32" xfId="0" applyNumberFormat="1" applyFont="1" applyBorder="1" applyAlignment="1">
      <alignment wrapText="1"/>
    </xf>
    <xf numFmtId="3" fontId="9" fillId="0" borderId="17" xfId="0" applyNumberFormat="1" applyFont="1" applyBorder="1"/>
    <xf numFmtId="3" fontId="9" fillId="0" borderId="11" xfId="0" applyNumberFormat="1" applyFont="1" applyBorder="1"/>
    <xf numFmtId="4" fontId="9" fillId="0" borderId="55" xfId="0" applyNumberFormat="1" applyFont="1" applyBorder="1"/>
    <xf numFmtId="3" fontId="9" fillId="0" borderId="15" xfId="0" applyNumberFormat="1" applyFont="1" applyBorder="1"/>
    <xf numFmtId="166" fontId="9" fillId="0" borderId="30" xfId="0" applyNumberFormat="1" applyFont="1" applyBorder="1"/>
    <xf numFmtId="166" fontId="9" fillId="0" borderId="59" xfId="0" applyNumberFormat="1" applyFont="1" applyBorder="1"/>
    <xf numFmtId="166" fontId="9" fillId="0" borderId="34" xfId="0" applyNumberFormat="1" applyFont="1" applyBorder="1"/>
    <xf numFmtId="3" fontId="10" fillId="0" borderId="29" xfId="0" quotePrefix="1" applyNumberFormat="1" applyFont="1" applyBorder="1" applyAlignment="1">
      <alignment wrapText="1"/>
    </xf>
    <xf numFmtId="3" fontId="9" fillId="0" borderId="17" xfId="0" applyNumberFormat="1" applyFont="1" applyBorder="1" applyAlignment="1">
      <alignment wrapText="1"/>
    </xf>
    <xf numFmtId="166" fontId="9" fillId="0" borderId="17" xfId="0" applyNumberFormat="1" applyFont="1" applyBorder="1"/>
    <xf numFmtId="3" fontId="10" fillId="0" borderId="17" xfId="0" applyNumberFormat="1" applyFont="1" applyBorder="1" applyAlignment="1">
      <alignment vertical="center" wrapText="1"/>
    </xf>
    <xf numFmtId="3" fontId="10" fillId="0" borderId="11" xfId="0" applyNumberFormat="1" applyFont="1" applyBorder="1" applyAlignment="1">
      <alignment vertical="center" wrapText="1"/>
    </xf>
    <xf numFmtId="3" fontId="10" fillId="0" borderId="59" xfId="0" applyNumberFormat="1" applyFont="1" applyBorder="1" applyAlignment="1">
      <alignment vertical="center"/>
    </xf>
    <xf numFmtId="3" fontId="10" fillId="0" borderId="15" xfId="0" applyNumberFormat="1" applyFont="1" applyBorder="1" applyAlignment="1">
      <alignment vertical="center" wrapText="1"/>
    </xf>
    <xf numFmtId="3" fontId="10" fillId="0" borderId="17" xfId="0" applyNumberFormat="1" applyFont="1" applyBorder="1" applyAlignment="1">
      <alignment vertical="center"/>
    </xf>
    <xf numFmtId="166" fontId="10" fillId="4" borderId="62" xfId="0" applyNumberFormat="1" applyFont="1" applyFill="1" applyBorder="1" applyAlignment="1">
      <alignment vertical="center"/>
    </xf>
    <xf numFmtId="3" fontId="9" fillId="0" borderId="47" xfId="0" applyNumberFormat="1" applyFont="1" applyBorder="1"/>
    <xf numFmtId="3" fontId="9" fillId="0" borderId="27" xfId="0" applyNumberFormat="1" applyFont="1" applyBorder="1"/>
    <xf numFmtId="3" fontId="9" fillId="0" borderId="63" xfId="0" applyNumberFormat="1" applyFont="1" applyBorder="1"/>
    <xf numFmtId="3" fontId="9" fillId="0" borderId="44" xfId="0" applyNumberFormat="1" applyFont="1" applyBorder="1"/>
    <xf numFmtId="3" fontId="9" fillId="0" borderId="34" xfId="0" applyNumberFormat="1" applyFont="1" applyBorder="1"/>
    <xf numFmtId="3" fontId="9" fillId="0" borderId="64" xfId="0" applyNumberFormat="1" applyFont="1" applyBorder="1"/>
    <xf numFmtId="3" fontId="9" fillId="0" borderId="37" xfId="0" applyNumberFormat="1" applyFont="1" applyBorder="1"/>
    <xf numFmtId="3" fontId="10" fillId="0" borderId="17" xfId="0" applyNumberFormat="1" applyFont="1" applyBorder="1" applyAlignment="1">
      <alignment wrapText="1"/>
    </xf>
    <xf numFmtId="3" fontId="9" fillId="0" borderId="59" xfId="0" applyNumberFormat="1" applyFont="1" applyBorder="1"/>
    <xf numFmtId="166" fontId="10" fillId="0" borderId="1" xfId="0" applyNumberFormat="1" applyFont="1" applyBorder="1" applyAlignment="1">
      <alignment vertical="center"/>
    </xf>
    <xf numFmtId="166" fontId="9" fillId="0" borderId="47" xfId="0" applyNumberFormat="1" applyFont="1" applyBorder="1"/>
    <xf numFmtId="166" fontId="9" fillId="0" borderId="27" xfId="0" applyNumberFormat="1" applyFont="1" applyBorder="1"/>
    <xf numFmtId="166" fontId="9" fillId="0" borderId="63" xfId="0" applyNumberFormat="1" applyFont="1" applyBorder="1"/>
    <xf numFmtId="166" fontId="9" fillId="0" borderId="44" xfId="0" applyNumberFormat="1" applyFont="1" applyBorder="1"/>
    <xf numFmtId="166" fontId="9" fillId="0" borderId="64" xfId="0" applyNumberFormat="1" applyFont="1" applyBorder="1"/>
    <xf numFmtId="166" fontId="10" fillId="4" borderId="65" xfId="0" applyNumberFormat="1" applyFont="1" applyFill="1" applyBorder="1" applyAlignment="1">
      <alignment vertical="center"/>
    </xf>
    <xf numFmtId="3" fontId="9" fillId="0" borderId="4" xfId="0" applyNumberFormat="1" applyFont="1" applyBorder="1"/>
    <xf numFmtId="3" fontId="9" fillId="0" borderId="2" xfId="0" applyNumberFormat="1" applyFont="1" applyBorder="1" applyAlignment="1">
      <alignment wrapText="1"/>
    </xf>
    <xf numFmtId="3" fontId="9" fillId="0" borderId="2" xfId="0" applyNumberFormat="1" applyFont="1" applyBorder="1"/>
    <xf numFmtId="3" fontId="11" fillId="0" borderId="2" xfId="0" applyNumberFormat="1" applyFont="1" applyBorder="1"/>
    <xf numFmtId="3" fontId="9" fillId="0" borderId="8" xfId="0" applyNumberFormat="1" applyFont="1" applyBorder="1"/>
    <xf numFmtId="3" fontId="12" fillId="0" borderId="0" xfId="0" applyNumberFormat="1" applyFont="1" applyAlignment="1">
      <alignment wrapText="1"/>
    </xf>
    <xf numFmtId="166" fontId="11" fillId="0" borderId="0" xfId="0" applyNumberFormat="1" applyFont="1"/>
    <xf numFmtId="3" fontId="13" fillId="0" borderId="0" xfId="0" applyNumberFormat="1" applyFont="1"/>
    <xf numFmtId="166" fontId="13" fillId="0" borderId="0" xfId="0" applyNumberFormat="1" applyFont="1"/>
    <xf numFmtId="166" fontId="14" fillId="0" borderId="0" xfId="0" applyNumberFormat="1" applyFont="1"/>
    <xf numFmtId="167" fontId="9" fillId="0" borderId="0" xfId="0" applyNumberFormat="1" applyFont="1"/>
    <xf numFmtId="0" fontId="16" fillId="0" borderId="0" xfId="0" applyFont="1" applyAlignment="1">
      <alignment horizontal="left"/>
    </xf>
    <xf numFmtId="3" fontId="9" fillId="0" borderId="1" xfId="0" applyNumberFormat="1" applyFont="1" applyBorder="1" applyAlignment="1">
      <alignment horizontal="center"/>
    </xf>
    <xf numFmtId="3" fontId="10" fillId="0" borderId="0" xfId="0" applyNumberFormat="1" applyFont="1" applyAlignment="1">
      <alignment horizontal="center" wrapText="1"/>
    </xf>
    <xf numFmtId="3" fontId="10" fillId="0" borderId="15" xfId="0" applyNumberFormat="1" applyFont="1" applyBorder="1" applyAlignment="1">
      <alignment horizontal="center"/>
    </xf>
    <xf numFmtId="3" fontId="9" fillId="4" borderId="15" xfId="0" applyNumberFormat="1" applyFont="1" applyFill="1" applyBorder="1" applyAlignment="1">
      <alignment horizontal="center"/>
    </xf>
    <xf numFmtId="3" fontId="9" fillId="0" borderId="3" xfId="0" applyNumberFormat="1" applyFont="1" applyBorder="1" applyAlignment="1">
      <alignment horizontal="center"/>
    </xf>
    <xf numFmtId="3" fontId="9" fillId="0" borderId="0" xfId="0" applyNumberFormat="1" applyFont="1" applyAlignment="1">
      <alignment horizontal="center"/>
    </xf>
    <xf numFmtId="3" fontId="10" fillId="0" borderId="22" xfId="0" applyNumberFormat="1" applyFont="1" applyBorder="1" applyAlignment="1">
      <alignment horizontal="center" wrapText="1"/>
    </xf>
    <xf numFmtId="3" fontId="9" fillId="5" borderId="0" xfId="0" applyNumberFormat="1" applyFont="1" applyFill="1"/>
    <xf numFmtId="9" fontId="10" fillId="0" borderId="10" xfId="1" applyFont="1" applyFill="1" applyBorder="1" applyAlignment="1">
      <alignment horizontal="right"/>
    </xf>
    <xf numFmtId="170" fontId="10" fillId="0" borderId="1" xfId="0" applyNumberFormat="1" applyFont="1" applyBorder="1" applyAlignment="1">
      <alignment horizontal="left"/>
    </xf>
    <xf numFmtId="9" fontId="9" fillId="0" borderId="0" xfId="1" applyFont="1" applyFill="1" applyBorder="1"/>
    <xf numFmtId="9" fontId="10" fillId="0" borderId="39" xfId="1" applyFont="1" applyFill="1" applyBorder="1" applyAlignment="1">
      <alignment horizontal="right" wrapText="1"/>
    </xf>
    <xf numFmtId="166" fontId="10" fillId="0" borderId="39" xfId="0" applyNumberFormat="1" applyFont="1" applyBorder="1" applyAlignment="1">
      <alignment horizontal="right" wrapText="1"/>
    </xf>
    <xf numFmtId="3" fontId="9" fillId="0" borderId="66" xfId="0" applyNumberFormat="1" applyFont="1" applyBorder="1" applyAlignment="1">
      <alignment wrapText="1"/>
    </xf>
    <xf numFmtId="9" fontId="9" fillId="0" borderId="41" xfId="1" applyFont="1" applyFill="1" applyBorder="1"/>
    <xf numFmtId="3" fontId="9" fillId="0" borderId="9" xfId="0" applyNumberFormat="1" applyFont="1" applyBorder="1" applyAlignment="1">
      <alignment wrapText="1"/>
    </xf>
    <xf numFmtId="9" fontId="9" fillId="0" borderId="38" xfId="1" applyFont="1" applyFill="1" applyBorder="1"/>
    <xf numFmtId="166" fontId="10" fillId="0" borderId="0" xfId="0" applyNumberFormat="1" applyFont="1" applyAlignment="1">
      <alignment wrapText="1"/>
    </xf>
    <xf numFmtId="3" fontId="9" fillId="0" borderId="67" xfId="0" applyNumberFormat="1" applyFont="1" applyBorder="1" applyAlignment="1">
      <alignment wrapText="1"/>
    </xf>
    <xf numFmtId="9" fontId="9" fillId="0" borderId="42" xfId="1" applyFont="1" applyFill="1" applyBorder="1" applyAlignment="1">
      <alignment wrapText="1"/>
    </xf>
    <xf numFmtId="166" fontId="9" fillId="0" borderId="0" xfId="0" applyNumberFormat="1" applyFont="1" applyAlignment="1">
      <alignment wrapText="1"/>
    </xf>
    <xf numFmtId="3" fontId="9" fillId="0" borderId="18" xfId="0" applyNumberFormat="1" applyFont="1" applyBorder="1" applyAlignment="1">
      <alignment wrapText="1"/>
    </xf>
    <xf numFmtId="9" fontId="10" fillId="0" borderId="16" xfId="1" applyFont="1" applyFill="1" applyBorder="1"/>
    <xf numFmtId="3" fontId="9" fillId="0" borderId="14" xfId="0" applyNumberFormat="1" applyFont="1" applyBorder="1" applyAlignment="1">
      <alignment wrapText="1"/>
    </xf>
    <xf numFmtId="3" fontId="9" fillId="0" borderId="12" xfId="0" applyNumberFormat="1" applyFont="1" applyBorder="1" applyAlignment="1">
      <alignment horizontal="left"/>
    </xf>
    <xf numFmtId="3" fontId="9" fillId="0" borderId="13" xfId="0" applyNumberFormat="1" applyFont="1" applyBorder="1" applyAlignment="1">
      <alignment wrapText="1"/>
    </xf>
    <xf numFmtId="4" fontId="9" fillId="0" borderId="42" xfId="0" applyNumberFormat="1" applyFont="1" applyBorder="1" applyAlignment="1">
      <alignment wrapText="1"/>
    </xf>
    <xf numFmtId="9" fontId="10" fillId="4" borderId="45" xfId="1" applyFont="1" applyFill="1" applyBorder="1" applyAlignment="1">
      <alignment vertical="center"/>
    </xf>
    <xf numFmtId="3" fontId="9" fillId="0" borderId="36" xfId="0" applyNumberFormat="1" applyFont="1" applyBorder="1" applyAlignment="1">
      <alignment horizontal="left" wrapText="1"/>
    </xf>
    <xf numFmtId="3" fontId="9" fillId="0" borderId="15" xfId="0" applyNumberFormat="1" applyFont="1" applyBorder="1" applyAlignment="1">
      <alignment horizontal="left" vertical="center" wrapText="1"/>
    </xf>
    <xf numFmtId="3" fontId="9" fillId="0" borderId="30" xfId="0" quotePrefix="1" applyNumberFormat="1" applyFont="1" applyBorder="1"/>
    <xf numFmtId="171" fontId="10" fillId="4" borderId="45" xfId="1" applyNumberFormat="1" applyFont="1" applyFill="1" applyBorder="1" applyAlignment="1">
      <alignment vertical="center"/>
    </xf>
    <xf numFmtId="3" fontId="10" fillId="0" borderId="36" xfId="0" applyNumberFormat="1" applyFont="1" applyBorder="1" applyAlignment="1">
      <alignment wrapText="1"/>
    </xf>
    <xf numFmtId="9" fontId="10" fillId="0" borderId="36" xfId="1" applyFont="1" applyFill="1" applyBorder="1"/>
    <xf numFmtId="166" fontId="9" fillId="0" borderId="26" xfId="0" applyNumberFormat="1" applyFont="1" applyBorder="1"/>
    <xf numFmtId="9" fontId="9" fillId="0" borderId="26" xfId="1" applyFont="1" applyFill="1" applyBorder="1"/>
    <xf numFmtId="3" fontId="9" fillId="0" borderId="12" xfId="0" applyNumberFormat="1" applyFont="1" applyBorder="1" applyAlignment="1">
      <alignment wrapText="1"/>
    </xf>
    <xf numFmtId="3" fontId="10" fillId="0" borderId="18" xfId="0" quotePrefix="1" applyNumberFormat="1" applyFont="1" applyBorder="1" applyAlignment="1">
      <alignment wrapText="1"/>
    </xf>
    <xf numFmtId="9" fontId="9" fillId="0" borderId="43" xfId="1" applyFont="1" applyFill="1" applyBorder="1"/>
    <xf numFmtId="3" fontId="10" fillId="0" borderId="0" xfId="0" applyNumberFormat="1" applyFont="1" applyAlignment="1">
      <alignment vertical="center" wrapText="1"/>
    </xf>
    <xf numFmtId="9" fontId="10" fillId="0" borderId="0" xfId="1" applyFont="1" applyFill="1" applyBorder="1" applyAlignment="1">
      <alignment vertical="center"/>
    </xf>
    <xf numFmtId="166" fontId="10" fillId="0" borderId="0" xfId="0" applyNumberFormat="1" applyFont="1" applyAlignment="1">
      <alignment vertical="center"/>
    </xf>
    <xf numFmtId="9" fontId="9" fillId="0" borderId="47" xfId="1" applyFont="1" applyFill="1" applyBorder="1"/>
    <xf numFmtId="9" fontId="9" fillId="0" borderId="44" xfId="1" applyFont="1" applyFill="1" applyBorder="1"/>
    <xf numFmtId="9" fontId="9" fillId="0" borderId="2" xfId="1" applyFont="1" applyFill="1" applyBorder="1"/>
    <xf numFmtId="166" fontId="9" fillId="0" borderId="2" xfId="0" applyNumberFormat="1" applyFont="1" applyBorder="1"/>
    <xf numFmtId="3" fontId="13" fillId="0" borderId="0" xfId="0" applyNumberFormat="1" applyFont="1" applyAlignment="1">
      <alignment horizontal="left" wrapText="1"/>
    </xf>
    <xf numFmtId="9" fontId="13" fillId="0" borderId="0" xfId="1" applyFont="1" applyFill="1" applyBorder="1"/>
    <xf numFmtId="3" fontId="15" fillId="5" borderId="5" xfId="0" applyNumberFormat="1" applyFont="1" applyFill="1" applyBorder="1" applyAlignment="1" applyProtection="1">
      <alignment horizontal="center"/>
      <protection locked="0"/>
    </xf>
    <xf numFmtId="3" fontId="15" fillId="5" borderId="6" xfId="0" applyNumberFormat="1" applyFont="1" applyFill="1" applyBorder="1" applyAlignment="1" applyProtection="1">
      <alignment horizontal="center"/>
      <protection locked="0"/>
    </xf>
    <xf numFmtId="3" fontId="15" fillId="5" borderId="6" xfId="0" applyNumberFormat="1" applyFont="1" applyFill="1" applyBorder="1" applyAlignment="1" applyProtection="1">
      <alignment horizontal="left"/>
      <protection locked="0"/>
    </xf>
    <xf numFmtId="9" fontId="15" fillId="5" borderId="6" xfId="1" applyFont="1" applyFill="1" applyBorder="1" applyAlignment="1" applyProtection="1">
      <alignment horizontal="center"/>
      <protection locked="0"/>
    </xf>
    <xf numFmtId="166" fontId="15" fillId="5" borderId="6" xfId="0" applyNumberFormat="1" applyFont="1" applyFill="1" applyBorder="1" applyAlignment="1" applyProtection="1">
      <alignment horizontal="center"/>
      <protection locked="0"/>
    </xf>
    <xf numFmtId="3" fontId="15" fillId="5" borderId="7" xfId="0" applyNumberFormat="1" applyFont="1" applyFill="1" applyBorder="1" applyAlignment="1" applyProtection="1">
      <alignment horizontal="center"/>
      <protection locked="0"/>
    </xf>
    <xf numFmtId="3" fontId="9" fillId="4" borderId="21" xfId="0" applyNumberFormat="1" applyFont="1" applyFill="1" applyBorder="1" applyAlignment="1">
      <alignment horizontal="center"/>
    </xf>
    <xf numFmtId="9" fontId="9" fillId="4" borderId="21" xfId="1" applyFont="1" applyFill="1" applyBorder="1" applyAlignment="1">
      <alignment horizontal="center"/>
    </xf>
    <xf numFmtId="166" fontId="9" fillId="4" borderId="21" xfId="0" applyNumberFormat="1" applyFont="1" applyFill="1" applyBorder="1" applyAlignment="1">
      <alignment horizontal="center"/>
    </xf>
    <xf numFmtId="3" fontId="9" fillId="4" borderId="45" xfId="0" applyNumberFormat="1" applyFont="1" applyFill="1" applyBorder="1" applyAlignment="1">
      <alignment horizontal="center"/>
    </xf>
    <xf numFmtId="3" fontId="10" fillId="0" borderId="0" xfId="0" applyNumberFormat="1" applyFont="1" applyAlignment="1">
      <alignment horizontal="center"/>
    </xf>
    <xf numFmtId="3" fontId="10" fillId="0" borderId="22" xfId="0" applyNumberFormat="1" applyFont="1" applyBorder="1" applyAlignment="1">
      <alignment horizontal="center" vertical="top" wrapText="1"/>
    </xf>
    <xf numFmtId="166" fontId="18" fillId="0" borderId="50" xfId="0" applyNumberFormat="1" applyFont="1" applyBorder="1"/>
    <xf numFmtId="166" fontId="18" fillId="0" borderId="52" xfId="0" applyNumberFormat="1" applyFont="1" applyBorder="1"/>
    <xf numFmtId="166" fontId="17" fillId="0" borderId="0" xfId="0" applyNumberFormat="1" applyFont="1"/>
    <xf numFmtId="0" fontId="19" fillId="0" borderId="0" xfId="0" applyFont="1"/>
    <xf numFmtId="3" fontId="19" fillId="0" borderId="0" xfId="0" applyNumberFormat="1" applyFont="1"/>
    <xf numFmtId="0" fontId="19" fillId="0" borderId="11" xfId="0" applyFont="1" applyBorder="1"/>
    <xf numFmtId="166" fontId="19" fillId="0" borderId="0" xfId="0" applyNumberFormat="1" applyFont="1"/>
    <xf numFmtId="0" fontId="22" fillId="0" borderId="79" xfId="0" applyFont="1" applyBorder="1" applyAlignment="1">
      <alignment horizontal="right"/>
    </xf>
    <xf numFmtId="9" fontId="19" fillId="0" borderId="0" xfId="1" applyFont="1" applyFill="1" applyBorder="1" applyAlignment="1">
      <alignment horizontal="center"/>
    </xf>
    <xf numFmtId="0" fontId="22" fillId="0" borderId="0" xfId="0" applyFont="1"/>
    <xf numFmtId="0" fontId="22" fillId="0" borderId="0" xfId="0" applyFont="1" applyAlignment="1">
      <alignment horizontal="right"/>
    </xf>
    <xf numFmtId="2" fontId="19" fillId="0" borderId="0" xfId="0" applyNumberFormat="1" applyFont="1"/>
    <xf numFmtId="4" fontId="19" fillId="0" borderId="0" xfId="0" applyNumberFormat="1" applyFont="1"/>
    <xf numFmtId="0" fontId="19" fillId="0" borderId="73" xfId="0" applyFont="1" applyBorder="1"/>
    <xf numFmtId="0" fontId="19" fillId="0" borderId="1" xfId="0" applyFont="1" applyBorder="1"/>
    <xf numFmtId="0" fontId="19" fillId="0" borderId="0" xfId="0" applyFont="1" applyAlignment="1">
      <alignment horizontal="center"/>
    </xf>
    <xf numFmtId="0" fontId="19" fillId="0" borderId="3" xfId="0" applyFont="1" applyBorder="1"/>
    <xf numFmtId="0" fontId="19" fillId="0" borderId="70" xfId="0" applyFont="1" applyBorder="1"/>
    <xf numFmtId="0" fontId="28" fillId="0" borderId="0" xfId="0" applyFont="1"/>
    <xf numFmtId="0" fontId="19" fillId="0" borderId="87" xfId="0" applyFont="1" applyBorder="1"/>
    <xf numFmtId="0" fontId="19" fillId="0" borderId="98" xfId="0" applyFont="1" applyBorder="1"/>
    <xf numFmtId="0" fontId="19" fillId="0" borderId="72" xfId="0" applyFont="1" applyBorder="1"/>
    <xf numFmtId="0" fontId="24" fillId="0" borderId="0" xfId="0" applyFont="1"/>
    <xf numFmtId="0" fontId="19" fillId="0" borderId="78" xfId="0" applyFont="1" applyBorder="1"/>
    <xf numFmtId="0" fontId="22" fillId="0" borderId="78" xfId="0" applyFont="1" applyBorder="1"/>
    <xf numFmtId="0" fontId="22" fillId="0" borderId="80" xfId="0" applyFont="1" applyBorder="1"/>
    <xf numFmtId="9" fontId="19" fillId="0" borderId="0" xfId="0" applyNumberFormat="1" applyFont="1"/>
    <xf numFmtId="0" fontId="22" fillId="0" borderId="72" xfId="0" applyFont="1" applyBorder="1" applyAlignment="1">
      <alignment wrapText="1"/>
    </xf>
    <xf numFmtId="0" fontId="22" fillId="0" borderId="73" xfId="0" applyFont="1" applyBorder="1" applyAlignment="1">
      <alignment wrapText="1"/>
    </xf>
    <xf numFmtId="0" fontId="22" fillId="0" borderId="0" xfId="0" applyFont="1" applyAlignment="1">
      <alignment wrapText="1"/>
    </xf>
    <xf numFmtId="0" fontId="19" fillId="0" borderId="69" xfId="0" applyFont="1" applyBorder="1"/>
    <xf numFmtId="0" fontId="19" fillId="0" borderId="81" xfId="0" applyFont="1" applyBorder="1"/>
    <xf numFmtId="0" fontId="22" fillId="0" borderId="104" xfId="0" applyFont="1" applyBorder="1" applyAlignment="1">
      <alignment horizontal="center" wrapText="1"/>
    </xf>
    <xf numFmtId="0" fontId="22" fillId="0" borderId="0" xfId="0" applyFont="1" applyAlignment="1">
      <alignment horizontal="center" wrapText="1"/>
    </xf>
    <xf numFmtId="0" fontId="19" fillId="0" borderId="82" xfId="0" applyFont="1" applyBorder="1" applyAlignment="1">
      <alignment vertical="center"/>
    </xf>
    <xf numFmtId="0" fontId="22" fillId="0" borderId="82" xfId="0" applyFont="1" applyBorder="1" applyAlignment="1">
      <alignment horizontal="right" vertical="center"/>
    </xf>
    <xf numFmtId="9" fontId="19" fillId="0" borderId="147" xfId="1" applyFont="1" applyFill="1" applyBorder="1" applyAlignment="1">
      <alignment horizontal="center"/>
    </xf>
    <xf numFmtId="9" fontId="19" fillId="0" borderId="148" xfId="1" applyFont="1" applyFill="1" applyBorder="1" applyAlignment="1">
      <alignment horizontal="center"/>
    </xf>
    <xf numFmtId="9" fontId="19" fillId="0" borderId="149" xfId="1" applyFont="1" applyFill="1" applyBorder="1" applyAlignment="1">
      <alignment horizontal="center"/>
    </xf>
    <xf numFmtId="9" fontId="19" fillId="0" borderId="144" xfId="1" applyFont="1" applyFill="1" applyBorder="1" applyAlignment="1">
      <alignment horizontal="center"/>
    </xf>
    <xf numFmtId="9" fontId="19" fillId="0" borderId="148" xfId="1" applyFont="1" applyFill="1" applyBorder="1" applyAlignment="1">
      <alignment horizontal="left"/>
    </xf>
    <xf numFmtId="9" fontId="19" fillId="0" borderId="144" xfId="1" applyFont="1" applyFill="1" applyBorder="1" applyAlignment="1">
      <alignment horizontal="left"/>
    </xf>
    <xf numFmtId="166" fontId="19" fillId="0" borderId="151" xfId="0" applyNumberFormat="1" applyFont="1" applyBorder="1" applyAlignment="1">
      <alignment horizontal="right"/>
    </xf>
    <xf numFmtId="166" fontId="19" fillId="0" borderId="152" xfId="0" applyNumberFormat="1" applyFont="1" applyBorder="1" applyAlignment="1">
      <alignment horizontal="right"/>
    </xf>
    <xf numFmtId="0" fontId="22" fillId="0" borderId="153" xfId="0" applyFont="1" applyBorder="1" applyAlignment="1">
      <alignment horizontal="right" wrapText="1"/>
    </xf>
    <xf numFmtId="166" fontId="19" fillId="0" borderId="154" xfId="0" applyNumberFormat="1" applyFont="1" applyBorder="1" applyAlignment="1">
      <alignment horizontal="right"/>
    </xf>
    <xf numFmtId="166" fontId="19" fillId="0" borderId="87" xfId="1" applyNumberFormat="1" applyFont="1" applyFill="1" applyBorder="1" applyAlignment="1">
      <alignment horizontal="center"/>
    </xf>
    <xf numFmtId="166" fontId="19" fillId="0" borderId="17" xfId="1" applyNumberFormat="1" applyFont="1" applyFill="1" applyBorder="1" applyAlignment="1">
      <alignment horizontal="center"/>
    </xf>
    <xf numFmtId="0" fontId="19" fillId="0" borderId="155" xfId="0" applyFont="1" applyBorder="1" applyAlignment="1">
      <alignment horizontal="center"/>
    </xf>
    <xf numFmtId="0" fontId="19" fillId="0" borderId="148" xfId="0" applyFont="1" applyBorder="1"/>
    <xf numFmtId="0" fontId="19" fillId="0" borderId="148" xfId="0" applyFont="1" applyBorder="1" applyAlignment="1">
      <alignment horizontal="center"/>
    </xf>
    <xf numFmtId="3" fontId="19" fillId="0" borderId="148" xfId="0" applyNumberFormat="1" applyFont="1" applyBorder="1"/>
    <xf numFmtId="166" fontId="19" fillId="0" borderId="148" xfId="0" applyNumberFormat="1" applyFont="1" applyBorder="1" applyAlignment="1">
      <alignment horizontal="right"/>
    </xf>
    <xf numFmtId="0" fontId="19" fillId="0" borderId="156" xfId="0" applyFont="1" applyBorder="1"/>
    <xf numFmtId="0" fontId="19" fillId="0" borderId="156" xfId="0" applyFont="1" applyBorder="1" applyAlignment="1">
      <alignment horizontal="center"/>
    </xf>
    <xf numFmtId="3" fontId="19" fillId="0" borderId="156" xfId="0" applyNumberFormat="1" applyFont="1" applyBorder="1"/>
    <xf numFmtId="9" fontId="19" fillId="0" borderId="157" xfId="1" applyFont="1" applyFill="1" applyBorder="1" applyAlignment="1">
      <alignment horizontal="center"/>
    </xf>
    <xf numFmtId="170" fontId="19" fillId="0" borderId="98" xfId="0" applyNumberFormat="1" applyFont="1" applyBorder="1"/>
    <xf numFmtId="9" fontId="19" fillId="0" borderId="97" xfId="1" applyFont="1" applyFill="1" applyBorder="1" applyAlignment="1">
      <alignment horizontal="center"/>
    </xf>
    <xf numFmtId="0" fontId="19" fillId="0" borderId="98" xfId="0" applyFont="1" applyBorder="1" applyAlignment="1">
      <alignment horizontal="left"/>
    </xf>
    <xf numFmtId="0" fontId="19" fillId="0" borderId="158" xfId="0" applyFont="1" applyBorder="1" applyAlignment="1">
      <alignment horizontal="left"/>
    </xf>
    <xf numFmtId="170" fontId="19" fillId="0" borderId="158" xfId="0" applyNumberFormat="1" applyFont="1" applyBorder="1"/>
    <xf numFmtId="9" fontId="19" fillId="0" borderId="115" xfId="1" applyFont="1" applyFill="1" applyBorder="1" applyAlignment="1">
      <alignment horizontal="center"/>
    </xf>
    <xf numFmtId="166" fontId="19" fillId="0" borderId="142" xfId="0" applyNumberFormat="1" applyFont="1" applyBorder="1" applyAlignment="1">
      <alignment horizontal="right"/>
    </xf>
    <xf numFmtId="166" fontId="19" fillId="0" borderId="86" xfId="0" applyNumberFormat="1" applyFont="1" applyBorder="1" applyAlignment="1">
      <alignment horizontal="right"/>
    </xf>
    <xf numFmtId="166" fontId="19" fillId="0" borderId="118" xfId="0" applyNumberFormat="1" applyFont="1" applyBorder="1" applyAlignment="1">
      <alignment horizontal="right"/>
    </xf>
    <xf numFmtId="166" fontId="19" fillId="0" borderId="87" xfId="0" applyNumberFormat="1" applyFont="1" applyBorder="1" applyAlignment="1">
      <alignment horizontal="right"/>
    </xf>
    <xf numFmtId="0" fontId="19" fillId="0" borderId="111" xfId="0" applyFont="1" applyBorder="1" applyAlignment="1">
      <alignment horizontal="center"/>
    </xf>
    <xf numFmtId="0" fontId="19" fillId="0" borderId="159" xfId="0" applyFont="1" applyBorder="1"/>
    <xf numFmtId="3" fontId="19" fillId="0" borderId="159" xfId="0" applyNumberFormat="1" applyFont="1" applyBorder="1"/>
    <xf numFmtId="9" fontId="19" fillId="0" borderId="108" xfId="1" applyFont="1" applyFill="1" applyBorder="1" applyAlignment="1">
      <alignment horizontal="center"/>
    </xf>
    <xf numFmtId="0" fontId="19" fillId="0" borderId="160" xfId="0" applyFont="1" applyBorder="1" applyAlignment="1">
      <alignment horizontal="left"/>
    </xf>
    <xf numFmtId="0" fontId="19" fillId="0" borderId="99" xfId="0" applyFont="1" applyBorder="1" applyAlignment="1">
      <alignment horizontal="left"/>
    </xf>
    <xf numFmtId="0" fontId="19" fillId="0" borderId="161" xfId="0" applyFont="1" applyBorder="1" applyAlignment="1">
      <alignment horizontal="left"/>
    </xf>
    <xf numFmtId="166" fontId="19" fillId="0" borderId="91" xfId="0" applyNumberFormat="1" applyFont="1" applyBorder="1" applyAlignment="1">
      <alignment horizontal="right"/>
    </xf>
    <xf numFmtId="0" fontId="19" fillId="0" borderId="87" xfId="0" applyFont="1" applyBorder="1" applyAlignment="1">
      <alignment horizontal="center"/>
    </xf>
    <xf numFmtId="166" fontId="19" fillId="0" borderId="162" xfId="0" applyNumberFormat="1" applyFont="1" applyBorder="1" applyAlignment="1">
      <alignment horizontal="right"/>
    </xf>
    <xf numFmtId="0" fontId="21" fillId="0" borderId="0" xfId="0" applyFont="1"/>
    <xf numFmtId="0" fontId="22" fillId="0" borderId="0" xfId="0" applyFont="1" applyAlignment="1">
      <alignment horizontal="center"/>
    </xf>
    <xf numFmtId="0" fontId="31" fillId="0" borderId="0" xfId="0" applyFont="1"/>
    <xf numFmtId="0" fontId="33" fillId="0" borderId="0" xfId="0" applyFont="1"/>
    <xf numFmtId="3" fontId="19" fillId="0" borderId="15" xfId="0" applyNumberFormat="1" applyFont="1" applyBorder="1" applyAlignment="1">
      <alignment horizontal="right"/>
    </xf>
    <xf numFmtId="0" fontId="22" fillId="0" borderId="95" xfId="0" applyFont="1" applyBorder="1" applyAlignment="1">
      <alignment horizontal="right"/>
    </xf>
    <xf numFmtId="3" fontId="19" fillId="0" borderId="0" xfId="0" applyNumberFormat="1" applyFont="1" applyAlignment="1">
      <alignment horizontal="right"/>
    </xf>
    <xf numFmtId="49" fontId="24" fillId="0" borderId="68" xfId="0" applyNumberFormat="1" applyFont="1" applyBorder="1" applyAlignment="1">
      <alignment vertical="top"/>
    </xf>
    <xf numFmtId="0" fontId="19" fillId="2" borderId="0" xfId="0" applyFont="1" applyFill="1" applyAlignment="1" applyProtection="1">
      <alignment horizontal="right"/>
      <protection locked="0"/>
    </xf>
    <xf numFmtId="0" fontId="22" fillId="2" borderId="0" xfId="0" applyFont="1" applyFill="1" applyAlignment="1" applyProtection="1">
      <alignment horizontal="left"/>
      <protection locked="0"/>
    </xf>
    <xf numFmtId="0" fontId="27" fillId="0" borderId="1" xfId="0" applyFont="1" applyBorder="1"/>
    <xf numFmtId="49" fontId="26" fillId="0" borderId="68" xfId="0" applyNumberFormat="1" applyFont="1" applyBorder="1"/>
    <xf numFmtId="3" fontId="35" fillId="0" borderId="0" xfId="0" applyNumberFormat="1" applyFont="1" applyAlignment="1">
      <alignment horizontal="right"/>
    </xf>
    <xf numFmtId="3" fontId="35" fillId="0" borderId="0" xfId="0" applyNumberFormat="1" applyFont="1" applyAlignment="1">
      <alignment horizontal="left"/>
    </xf>
    <xf numFmtId="3" fontId="26" fillId="0" borderId="0" xfId="0" applyNumberFormat="1" applyFont="1" applyAlignment="1">
      <alignment horizontal="center"/>
    </xf>
    <xf numFmtId="3" fontId="26" fillId="0" borderId="0" xfId="0" applyNumberFormat="1" applyFont="1" applyAlignment="1">
      <alignment horizontal="right"/>
    </xf>
    <xf numFmtId="0" fontId="27" fillId="0" borderId="0" xfId="0" applyFont="1"/>
    <xf numFmtId="0" fontId="27" fillId="0" borderId="3" xfId="0" applyFont="1" applyBorder="1"/>
    <xf numFmtId="49" fontId="19" fillId="0" borderId="68" xfId="0" applyNumberFormat="1" applyFont="1" applyBorder="1"/>
    <xf numFmtId="0" fontId="19" fillId="0" borderId="1" xfId="0" applyFont="1" applyBorder="1" applyAlignment="1">
      <alignment vertical="top"/>
    </xf>
    <xf numFmtId="0" fontId="19" fillId="0" borderId="0" xfId="0" applyFont="1" applyAlignment="1">
      <alignment vertical="top"/>
    </xf>
    <xf numFmtId="0" fontId="19" fillId="0" borderId="3" xfId="0" applyFont="1" applyBorder="1" applyAlignment="1">
      <alignment vertical="top"/>
    </xf>
    <xf numFmtId="0" fontId="22" fillId="0" borderId="51" xfId="0" applyFont="1" applyBorder="1" applyAlignment="1">
      <alignment horizontal="center" wrapText="1"/>
    </xf>
    <xf numFmtId="0" fontId="19" fillId="0" borderId="51" xfId="0" applyFont="1" applyBorder="1"/>
    <xf numFmtId="0" fontId="19" fillId="0" borderId="0" xfId="0" applyFont="1" applyAlignment="1">
      <alignment horizontal="center" vertical="top" wrapText="1"/>
    </xf>
    <xf numFmtId="172" fontId="19" fillId="0" borderId="0" xfId="0" applyNumberFormat="1" applyFont="1" applyAlignment="1">
      <alignment horizontal="left" vertical="top" wrapText="1"/>
    </xf>
    <xf numFmtId="49" fontId="19" fillId="0" borderId="68" xfId="0" applyNumberFormat="1" applyFont="1" applyBorder="1" applyAlignment="1">
      <alignment vertical="top"/>
    </xf>
    <xf numFmtId="0" fontId="19" fillId="0" borderId="0" xfId="0" applyFont="1" applyAlignment="1">
      <alignment horizontal="left" vertical="top"/>
    </xf>
    <xf numFmtId="0" fontId="19" fillId="0" borderId="0" xfId="0" applyFont="1" applyAlignment="1">
      <alignment horizontal="left" vertical="top" wrapText="1"/>
    </xf>
    <xf numFmtId="172" fontId="19" fillId="0" borderId="0" xfId="0" applyNumberFormat="1" applyFont="1" applyAlignment="1" applyProtection="1">
      <alignment horizontal="center" vertical="top"/>
      <protection locked="0"/>
    </xf>
    <xf numFmtId="172" fontId="19" fillId="0" borderId="0" xfId="0" applyNumberFormat="1" applyFont="1" applyAlignment="1" applyProtection="1">
      <alignment horizontal="right" vertical="top"/>
      <protection locked="0"/>
    </xf>
    <xf numFmtId="172" fontId="19" fillId="0" borderId="0" xfId="0" applyNumberFormat="1" applyFont="1"/>
    <xf numFmtId="0" fontId="19" fillId="0" borderId="4" xfId="0" applyFont="1" applyBorder="1"/>
    <xf numFmtId="49" fontId="19" fillId="0" borderId="69" xfId="0" applyNumberFormat="1" applyFont="1" applyBorder="1"/>
    <xf numFmtId="49" fontId="19" fillId="0" borderId="0" xfId="0" applyNumberFormat="1" applyFont="1"/>
    <xf numFmtId="172" fontId="19" fillId="0" borderId="168" xfId="0" applyNumberFormat="1" applyFont="1" applyBorder="1" applyAlignment="1">
      <alignment horizontal="left" vertical="top" wrapText="1"/>
    </xf>
    <xf numFmtId="173" fontId="22" fillId="0" borderId="0" xfId="0" applyNumberFormat="1" applyFont="1" applyAlignment="1">
      <alignment horizontal="right" wrapText="1"/>
    </xf>
    <xf numFmtId="172" fontId="19" fillId="0" borderId="119" xfId="0" applyNumberFormat="1" applyFont="1" applyBorder="1" applyAlignment="1" applyProtection="1">
      <alignment horizontal="right" vertical="top"/>
      <protection locked="0"/>
    </xf>
    <xf numFmtId="172" fontId="19" fillId="0" borderId="91" xfId="0" applyNumberFormat="1" applyFont="1" applyBorder="1" applyAlignment="1" applyProtection="1">
      <alignment horizontal="right" vertical="top"/>
      <protection locked="0"/>
    </xf>
    <xf numFmtId="172" fontId="19" fillId="0" borderId="152" xfId="0" applyNumberFormat="1" applyFont="1" applyBorder="1" applyAlignment="1" applyProtection="1">
      <alignment horizontal="right" vertical="top"/>
      <protection locked="0"/>
    </xf>
    <xf numFmtId="0" fontId="36" fillId="0" borderId="0" xfId="0" applyFont="1"/>
    <xf numFmtId="0" fontId="37" fillId="0" borderId="0" xfId="0" applyFont="1"/>
    <xf numFmtId="0" fontId="38" fillId="0" borderId="0" xfId="0" applyFont="1"/>
    <xf numFmtId="0" fontId="38" fillId="0" borderId="0" xfId="0" applyFont="1" applyProtection="1">
      <protection locked="0"/>
    </xf>
    <xf numFmtId="3" fontId="38" fillId="0" borderId="22" xfId="0" applyNumberFormat="1" applyFont="1" applyBorder="1"/>
    <xf numFmtId="3" fontId="38" fillId="0" borderId="0" xfId="0" applyNumberFormat="1" applyFont="1"/>
    <xf numFmtId="4" fontId="36" fillId="0" borderId="0" xfId="0" applyNumberFormat="1" applyFont="1"/>
    <xf numFmtId="166" fontId="36" fillId="0" borderId="0" xfId="0" applyNumberFormat="1" applyFont="1"/>
    <xf numFmtId="0" fontId="36" fillId="0" borderId="0" xfId="0" applyFont="1" applyAlignment="1">
      <alignment horizontal="right"/>
    </xf>
    <xf numFmtId="0" fontId="36" fillId="0" borderId="104" xfId="0" applyFont="1" applyBorder="1"/>
    <xf numFmtId="0" fontId="38" fillId="0" borderId="78" xfId="0" applyFont="1" applyBorder="1"/>
    <xf numFmtId="0" fontId="38" fillId="0" borderId="79" xfId="0" applyFont="1" applyBorder="1"/>
    <xf numFmtId="0" fontId="38" fillId="0" borderId="79" xfId="0" applyFont="1" applyBorder="1" applyAlignment="1">
      <alignment horizontal="right"/>
    </xf>
    <xf numFmtId="0" fontId="38" fillId="0" borderId="80" xfId="0" applyFont="1" applyBorder="1"/>
    <xf numFmtId="0" fontId="36" fillId="0" borderId="105" xfId="0" applyFont="1" applyBorder="1"/>
    <xf numFmtId="0" fontId="38" fillId="0" borderId="104" xfId="0" applyFont="1" applyBorder="1"/>
    <xf numFmtId="0" fontId="38" fillId="0" borderId="105" xfId="0" applyFont="1" applyBorder="1"/>
    <xf numFmtId="3" fontId="36" fillId="0" borderId="105" xfId="0" applyNumberFormat="1" applyFont="1" applyBorder="1"/>
    <xf numFmtId="3" fontId="38" fillId="0" borderId="105" xfId="0" applyNumberFormat="1" applyFont="1" applyBorder="1"/>
    <xf numFmtId="0" fontId="36" fillId="0" borderId="107" xfId="0" applyFont="1" applyBorder="1"/>
    <xf numFmtId="0" fontId="36" fillId="0" borderId="95" xfId="0" quotePrefix="1" applyFont="1" applyBorder="1"/>
    <xf numFmtId="0" fontId="36" fillId="0" borderId="95" xfId="0" applyFont="1" applyBorder="1"/>
    <xf numFmtId="166" fontId="36" fillId="0" borderId="95" xfId="0" applyNumberFormat="1" applyFont="1" applyBorder="1"/>
    <xf numFmtId="0" fontId="36" fillId="0" borderId="96" xfId="0" applyFont="1" applyBorder="1"/>
    <xf numFmtId="0" fontId="36" fillId="0" borderId="90" xfId="0" applyFont="1" applyBorder="1"/>
    <xf numFmtId="0" fontId="36" fillId="0" borderId="91" xfId="0" applyFont="1" applyBorder="1" applyProtection="1">
      <protection locked="0"/>
    </xf>
    <xf numFmtId="0" fontId="36" fillId="0" borderId="91" xfId="0" quotePrefix="1" applyFont="1" applyBorder="1"/>
    <xf numFmtId="0" fontId="36" fillId="0" borderId="91" xfId="0" applyFont="1" applyBorder="1"/>
    <xf numFmtId="0" fontId="36" fillId="0" borderId="93" xfId="0" applyFont="1" applyBorder="1"/>
    <xf numFmtId="0" fontId="36" fillId="0" borderId="87" xfId="0" applyFont="1" applyBorder="1"/>
    <xf numFmtId="0" fontId="36" fillId="0" borderId="88" xfId="0" applyFont="1" applyBorder="1"/>
    <xf numFmtId="166" fontId="36" fillId="0" borderId="119" xfId="0" applyNumberFormat="1" applyFont="1" applyBorder="1"/>
    <xf numFmtId="166" fontId="36" fillId="0" borderId="91" xfId="0" applyNumberFormat="1" applyFont="1" applyBorder="1"/>
    <xf numFmtId="4" fontId="36" fillId="0" borderId="93" xfId="0" applyNumberFormat="1" applyFont="1" applyBorder="1"/>
    <xf numFmtId="166" fontId="36" fillId="0" borderId="111" xfId="0" applyNumberFormat="1" applyFont="1" applyBorder="1"/>
    <xf numFmtId="4" fontId="36" fillId="0" borderId="112" xfId="0" applyNumberFormat="1" applyFont="1" applyBorder="1"/>
    <xf numFmtId="0" fontId="39" fillId="0" borderId="0" xfId="0" applyFont="1"/>
    <xf numFmtId="0" fontId="40" fillId="0" borderId="0" xfId="0" applyFont="1"/>
    <xf numFmtId="0" fontId="41" fillId="0" borderId="0" xfId="0" applyFont="1" applyAlignment="1">
      <alignment horizontal="center"/>
    </xf>
    <xf numFmtId="0" fontId="39" fillId="0" borderId="0" xfId="0" applyFont="1" applyAlignment="1">
      <alignment horizontal="right"/>
    </xf>
    <xf numFmtId="0" fontId="41" fillId="0" borderId="104" xfId="0" applyFont="1" applyBorder="1"/>
    <xf numFmtId="0" fontId="41" fillId="0" borderId="0" xfId="0" applyFont="1"/>
    <xf numFmtId="0" fontId="41" fillId="0" borderId="105" xfId="0" applyFont="1" applyBorder="1"/>
    <xf numFmtId="0" fontId="40" fillId="0" borderId="107" xfId="0" applyFont="1" applyBorder="1"/>
    <xf numFmtId="0" fontId="40" fillId="0" borderId="96" xfId="0" applyFont="1" applyBorder="1"/>
    <xf numFmtId="0" fontId="40" fillId="0" borderId="105" xfId="0" applyFont="1" applyBorder="1"/>
    <xf numFmtId="0" fontId="40" fillId="0" borderId="104" xfId="0" applyFont="1" applyBorder="1"/>
    <xf numFmtId="0" fontId="42" fillId="0" borderId="105" xfId="0" applyFont="1" applyBorder="1" applyAlignment="1">
      <alignment horizontal="center"/>
    </xf>
    <xf numFmtId="0" fontId="40" fillId="0" borderId="99" xfId="0" applyFont="1" applyBorder="1"/>
    <xf numFmtId="0" fontId="40" fillId="0" borderId="98" xfId="0" applyFont="1" applyBorder="1"/>
    <xf numFmtId="0" fontId="40" fillId="0" borderId="169" xfId="0" applyFont="1" applyBorder="1"/>
    <xf numFmtId="0" fontId="40" fillId="0" borderId="102" xfId="0" applyFont="1" applyBorder="1"/>
    <xf numFmtId="0" fontId="42" fillId="0" borderId="104" xfId="0" applyFont="1" applyBorder="1"/>
    <xf numFmtId="0" fontId="40" fillId="0" borderId="95" xfId="0" applyFont="1" applyBorder="1"/>
    <xf numFmtId="0" fontId="40" fillId="0" borderId="101" xfId="0" applyFont="1" applyBorder="1"/>
    <xf numFmtId="0" fontId="40" fillId="0" borderId="103" xfId="0" applyFont="1" applyBorder="1"/>
    <xf numFmtId="0" fontId="43" fillId="0" borderId="0" xfId="0" applyFont="1"/>
    <xf numFmtId="174" fontId="40" fillId="0" borderId="88" xfId="1" applyNumberFormat="1" applyFont="1" applyFill="1" applyBorder="1"/>
    <xf numFmtId="0" fontId="44" fillId="0" borderId="0" xfId="0" applyFont="1" applyAlignment="1">
      <alignment horizontal="center"/>
    </xf>
    <xf numFmtId="0" fontId="45" fillId="0" borderId="0" xfId="0" applyFont="1" applyAlignment="1">
      <alignment horizontal="center"/>
    </xf>
    <xf numFmtId="14" fontId="19" fillId="0" borderId="0" xfId="0" quotePrefix="1" applyNumberFormat="1" applyFont="1" applyAlignment="1">
      <alignment horizontal="left"/>
    </xf>
    <xf numFmtId="3" fontId="20" fillId="0" borderId="0" xfId="0" applyNumberFormat="1" applyFont="1"/>
    <xf numFmtId="3" fontId="20" fillId="0" borderId="104" xfId="0" applyNumberFormat="1" applyFont="1" applyBorder="1"/>
    <xf numFmtId="0" fontId="47" fillId="0" borderId="0" xfId="0" applyFont="1" applyAlignment="1">
      <alignment horizontal="left"/>
    </xf>
    <xf numFmtId="3" fontId="20" fillId="0" borderId="0" xfId="0" applyNumberFormat="1" applyFont="1" applyAlignment="1">
      <alignment wrapText="1"/>
    </xf>
    <xf numFmtId="170" fontId="48" fillId="0" borderId="0" xfId="0" applyNumberFormat="1" applyFont="1" applyAlignment="1">
      <alignment horizontal="left"/>
    </xf>
    <xf numFmtId="3" fontId="48" fillId="0" borderId="0" xfId="0" applyNumberFormat="1" applyFont="1"/>
    <xf numFmtId="3" fontId="48" fillId="0" borderId="0" xfId="0" applyNumberFormat="1" applyFont="1" applyAlignment="1">
      <alignment horizontal="center"/>
    </xf>
    <xf numFmtId="3" fontId="20" fillId="0" borderId="105" xfId="0" applyNumberFormat="1" applyFont="1" applyBorder="1"/>
    <xf numFmtId="3" fontId="48" fillId="0" borderId="0" xfId="0" applyNumberFormat="1" applyFont="1" applyAlignment="1">
      <alignment wrapText="1"/>
    </xf>
    <xf numFmtId="3" fontId="20" fillId="0" borderId="0" xfId="0" applyNumberFormat="1" applyFont="1" applyAlignment="1">
      <alignment horizontal="center"/>
    </xf>
    <xf numFmtId="3" fontId="20" fillId="0" borderId="104" xfId="0" applyNumberFormat="1" applyFont="1" applyBorder="1" applyAlignment="1">
      <alignment horizontal="center"/>
    </xf>
    <xf numFmtId="3" fontId="48" fillId="0" borderId="0" xfId="0" applyNumberFormat="1" applyFont="1" applyAlignment="1">
      <alignment horizontal="center" wrapText="1"/>
    </xf>
    <xf numFmtId="3" fontId="20" fillId="0" borderId="105" xfId="0" applyNumberFormat="1" applyFont="1" applyBorder="1" applyAlignment="1">
      <alignment horizontal="center"/>
    </xf>
    <xf numFmtId="3" fontId="48" fillId="0" borderId="15" xfId="0" applyNumberFormat="1" applyFont="1" applyBorder="1" applyAlignment="1">
      <alignment horizontal="center"/>
    </xf>
    <xf numFmtId="0" fontId="48" fillId="0" borderId="94" xfId="0" applyFont="1" applyBorder="1" applyAlignment="1">
      <alignment horizontal="right" wrapText="1"/>
    </xf>
    <xf numFmtId="0" fontId="48" fillId="0" borderId="94" xfId="0" applyFont="1" applyBorder="1" applyAlignment="1">
      <alignment horizontal="center" wrapText="1"/>
    </xf>
    <xf numFmtId="0" fontId="48" fillId="0" borderId="124" xfId="0" applyFont="1" applyBorder="1" applyAlignment="1">
      <alignment horizontal="center" wrapText="1"/>
    </xf>
    <xf numFmtId="0" fontId="48" fillId="0" borderId="136" xfId="0" applyFont="1" applyBorder="1" applyAlignment="1">
      <alignment horizontal="right" wrapText="1"/>
    </xf>
    <xf numFmtId="3" fontId="48" fillId="0" borderId="104" xfId="0" applyNumberFormat="1" applyFont="1" applyBorder="1"/>
    <xf numFmtId="166" fontId="48" fillId="0" borderId="91" xfId="0" applyNumberFormat="1" applyFont="1" applyBorder="1"/>
    <xf numFmtId="166" fontId="48" fillId="0" borderId="125" xfId="0" applyNumberFormat="1" applyFont="1" applyBorder="1" applyAlignment="1">
      <alignment horizontal="center"/>
    </xf>
    <xf numFmtId="166" fontId="48" fillId="0" borderId="129" xfId="0" applyNumberFormat="1" applyFont="1" applyBorder="1"/>
    <xf numFmtId="166" fontId="48" fillId="0" borderId="91" xfId="0" applyNumberFormat="1" applyFont="1" applyBorder="1" applyAlignment="1">
      <alignment horizontal="center"/>
    </xf>
    <xf numFmtId="3" fontId="48" fillId="0" borderId="91" xfId="0" applyNumberFormat="1" applyFont="1" applyBorder="1" applyAlignment="1">
      <alignment wrapText="1"/>
    </xf>
    <xf numFmtId="166" fontId="48" fillId="0" borderId="133" xfId="0" applyNumberFormat="1" applyFont="1" applyBorder="1" applyAlignment="1">
      <alignment wrapText="1"/>
    </xf>
    <xf numFmtId="166" fontId="48" fillId="0" borderId="15" xfId="0" applyNumberFormat="1" applyFont="1" applyBorder="1" applyAlignment="1">
      <alignment wrapText="1"/>
    </xf>
    <xf numFmtId="0" fontId="20" fillId="0" borderId="91" xfId="0" applyFont="1" applyBorder="1"/>
    <xf numFmtId="166" fontId="20" fillId="0" borderId="91" xfId="0" applyNumberFormat="1" applyFont="1" applyBorder="1" applyAlignment="1">
      <alignment wrapText="1"/>
    </xf>
    <xf numFmtId="166" fontId="20" fillId="0" borderId="91" xfId="0" applyNumberFormat="1" applyFont="1" applyBorder="1"/>
    <xf numFmtId="166" fontId="20" fillId="0" borderId="91" xfId="0" applyNumberFormat="1" applyFont="1" applyBorder="1" applyAlignment="1">
      <alignment horizontal="center"/>
    </xf>
    <xf numFmtId="166" fontId="20" fillId="0" borderId="125" xfId="0" applyNumberFormat="1" applyFont="1" applyBorder="1" applyAlignment="1">
      <alignment horizontal="center"/>
    </xf>
    <xf numFmtId="166" fontId="20" fillId="0" borderId="133" xfId="0" applyNumberFormat="1" applyFont="1" applyBorder="1" applyAlignment="1">
      <alignment wrapText="1"/>
    </xf>
    <xf numFmtId="166" fontId="20" fillId="0" borderId="15" xfId="0" applyNumberFormat="1" applyFont="1" applyBorder="1" applyAlignment="1">
      <alignment wrapText="1"/>
    </xf>
    <xf numFmtId="3" fontId="20" fillId="0" borderId="91" xfId="0" applyNumberFormat="1" applyFont="1" applyBorder="1" applyAlignment="1">
      <alignment wrapText="1"/>
    </xf>
    <xf numFmtId="3" fontId="20" fillId="0" borderId="93" xfId="0" applyNumberFormat="1" applyFont="1" applyBorder="1" applyAlignment="1">
      <alignment wrapText="1"/>
    </xf>
    <xf numFmtId="166" fontId="20" fillId="0" borderId="93" xfId="0" applyNumberFormat="1" applyFont="1" applyBorder="1" applyAlignment="1">
      <alignment wrapText="1"/>
    </xf>
    <xf numFmtId="3" fontId="48" fillId="0" borderId="104" xfId="0" applyNumberFormat="1" applyFont="1" applyBorder="1" applyAlignment="1">
      <alignment vertical="center"/>
    </xf>
    <xf numFmtId="3" fontId="48" fillId="0" borderId="0" xfId="0" applyNumberFormat="1" applyFont="1" applyAlignment="1">
      <alignment vertical="center"/>
    </xf>
    <xf numFmtId="3" fontId="20" fillId="0" borderId="104" xfId="0" applyNumberFormat="1" applyFont="1" applyBorder="1" applyAlignment="1">
      <alignment horizontal="left" vertical="center"/>
    </xf>
    <xf numFmtId="3" fontId="20" fillId="0" borderId="90" xfId="0" applyNumberFormat="1" applyFont="1" applyBorder="1" applyAlignment="1">
      <alignment wrapText="1"/>
    </xf>
    <xf numFmtId="166" fontId="48" fillId="0" borderId="104" xfId="0" applyNumberFormat="1" applyFont="1" applyBorder="1"/>
    <xf numFmtId="166" fontId="48" fillId="0" borderId="0" xfId="0" applyNumberFormat="1" applyFont="1"/>
    <xf numFmtId="166" fontId="48" fillId="0" borderId="0" xfId="0" applyNumberFormat="1" applyFont="1" applyAlignment="1">
      <alignment horizontal="center"/>
    </xf>
    <xf numFmtId="166" fontId="48" fillId="0" borderId="122" xfId="0" applyNumberFormat="1" applyFont="1" applyBorder="1" applyAlignment="1">
      <alignment horizontal="center"/>
    </xf>
    <xf numFmtId="3" fontId="20" fillId="0" borderId="0" xfId="0" applyNumberFormat="1" applyFont="1" applyAlignment="1">
      <alignment horizontal="left" vertical="center"/>
    </xf>
    <xf numFmtId="166" fontId="20" fillId="0" borderId="90" xfId="0" applyNumberFormat="1" applyFont="1" applyBorder="1"/>
    <xf numFmtId="166" fontId="20" fillId="0" borderId="90" xfId="0" applyNumberFormat="1" applyFont="1" applyBorder="1" applyAlignment="1">
      <alignment horizontal="center"/>
    </xf>
    <xf numFmtId="166" fontId="20" fillId="0" borderId="132" xfId="0" applyNumberFormat="1" applyFont="1" applyBorder="1" applyAlignment="1">
      <alignment horizontal="center"/>
    </xf>
    <xf numFmtId="3" fontId="20" fillId="0" borderId="0" xfId="0" applyNumberFormat="1" applyFont="1" applyAlignment="1">
      <alignment horizontal="right" wrapText="1"/>
    </xf>
    <xf numFmtId="166" fontId="20" fillId="0" borderId="0" xfId="0" applyNumberFormat="1" applyFont="1"/>
    <xf numFmtId="1" fontId="20" fillId="0" borderId="0" xfId="0" applyNumberFormat="1" applyFont="1" applyAlignment="1">
      <alignment horizontal="right" wrapText="1"/>
    </xf>
    <xf numFmtId="0" fontId="20" fillId="0" borderId="93" xfId="0" applyFont="1" applyBorder="1"/>
    <xf numFmtId="166" fontId="20" fillId="0" borderId="93" xfId="0" applyNumberFormat="1" applyFont="1" applyBorder="1"/>
    <xf numFmtId="166" fontId="20" fillId="0" borderId="93" xfId="0" applyNumberFormat="1" applyFont="1" applyBorder="1" applyAlignment="1">
      <alignment horizontal="center"/>
    </xf>
    <xf numFmtId="166" fontId="20" fillId="0" borderId="126" xfId="0" applyNumberFormat="1" applyFont="1" applyBorder="1" applyAlignment="1">
      <alignment horizontal="center"/>
    </xf>
    <xf numFmtId="166" fontId="48" fillId="0" borderId="130" xfId="0" applyNumberFormat="1" applyFont="1" applyBorder="1"/>
    <xf numFmtId="3" fontId="20" fillId="0" borderId="91" xfId="0" applyNumberFormat="1" applyFont="1" applyBorder="1"/>
    <xf numFmtId="166" fontId="48" fillId="0" borderId="0" xfId="0" applyNumberFormat="1" applyFont="1" applyAlignment="1">
      <alignment vertical="center"/>
    </xf>
    <xf numFmtId="0" fontId="20" fillId="0" borderId="90" xfId="0" applyFont="1" applyBorder="1"/>
    <xf numFmtId="0" fontId="49" fillId="0" borderId="91" xfId="0" applyFont="1" applyBorder="1"/>
    <xf numFmtId="3" fontId="48" fillId="0" borderId="87" xfId="0" applyNumberFormat="1" applyFont="1" applyBorder="1" applyAlignment="1">
      <alignment wrapText="1"/>
    </xf>
    <xf numFmtId="166" fontId="48" fillId="0" borderId="104" xfId="0" applyNumberFormat="1" applyFont="1" applyBorder="1" applyAlignment="1">
      <alignment vertical="center"/>
    </xf>
    <xf numFmtId="3" fontId="20" fillId="0" borderId="94" xfId="0" applyNumberFormat="1" applyFont="1" applyBorder="1" applyAlignment="1">
      <alignment wrapText="1"/>
    </xf>
    <xf numFmtId="166" fontId="48" fillId="0" borderId="135" xfId="0" applyNumberFormat="1" applyFont="1" applyBorder="1"/>
    <xf numFmtId="3" fontId="20" fillId="0" borderId="92" xfId="0" applyNumberFormat="1" applyFont="1" applyBorder="1" applyAlignment="1">
      <alignment wrapText="1"/>
    </xf>
    <xf numFmtId="0" fontId="20" fillId="0" borderId="0" xfId="0" applyFont="1"/>
    <xf numFmtId="3" fontId="20" fillId="0" borderId="107" xfId="0" applyNumberFormat="1" applyFont="1" applyBorder="1"/>
    <xf numFmtId="3" fontId="20" fillId="0" borderId="95" xfId="0" applyNumberFormat="1" applyFont="1" applyBorder="1" applyAlignment="1">
      <alignment wrapText="1"/>
    </xf>
    <xf numFmtId="3" fontId="20" fillId="0" borderId="95" xfId="0" applyNumberFormat="1" applyFont="1" applyBorder="1"/>
    <xf numFmtId="3" fontId="20" fillId="0" borderId="95" xfId="0" applyNumberFormat="1" applyFont="1" applyBorder="1" applyAlignment="1">
      <alignment horizontal="center"/>
    </xf>
    <xf numFmtId="3" fontId="20" fillId="0" borderId="96" xfId="0" applyNumberFormat="1" applyFont="1" applyBorder="1"/>
    <xf numFmtId="3" fontId="51" fillId="0" borderId="0" xfId="0" applyNumberFormat="1" applyFont="1" applyAlignment="1">
      <alignment wrapText="1"/>
    </xf>
    <xf numFmtId="166" fontId="20" fillId="0" borderId="0" xfId="0" applyNumberFormat="1" applyFont="1" applyAlignment="1">
      <alignment horizontal="center"/>
    </xf>
    <xf numFmtId="166" fontId="49" fillId="0" borderId="0" xfId="0" applyNumberFormat="1" applyFont="1"/>
    <xf numFmtId="0" fontId="20" fillId="0" borderId="0" xfId="0" applyFont="1" applyProtection="1">
      <protection locked="0"/>
    </xf>
    <xf numFmtId="0" fontId="20" fillId="0" borderId="104" xfId="0" applyFont="1" applyBorder="1" applyProtection="1">
      <protection locked="0"/>
    </xf>
    <xf numFmtId="0" fontId="47" fillId="0" borderId="0" xfId="0" applyFont="1" applyAlignment="1" applyProtection="1">
      <alignment horizontal="left" wrapText="1"/>
      <protection locked="0"/>
    </xf>
    <xf numFmtId="0" fontId="47" fillId="0" borderId="0" xfId="0" applyFont="1" applyAlignment="1" applyProtection="1">
      <alignment horizontal="left"/>
      <protection locked="0"/>
    </xf>
    <xf numFmtId="0" fontId="48" fillId="0" borderId="78" xfId="0" applyFont="1" applyBorder="1"/>
    <xf numFmtId="1" fontId="48" fillId="0" borderId="79" xfId="0" applyNumberFormat="1" applyFont="1" applyBorder="1" applyAlignment="1">
      <alignment horizontal="center"/>
    </xf>
    <xf numFmtId="0" fontId="48" fillId="0" borderId="0" xfId="0" applyFont="1" applyAlignment="1" applyProtection="1">
      <alignment horizontal="left"/>
      <protection locked="0"/>
    </xf>
    <xf numFmtId="0" fontId="20" fillId="0" borderId="105" xfId="0" applyFont="1" applyBorder="1" applyProtection="1">
      <protection locked="0"/>
    </xf>
    <xf numFmtId="0" fontId="20" fillId="0" borderId="0" xfId="0" applyFont="1" applyAlignment="1" applyProtection="1">
      <alignment wrapText="1"/>
      <protection locked="0"/>
    </xf>
    <xf numFmtId="3" fontId="48" fillId="0" borderId="109" xfId="0" applyNumberFormat="1" applyFont="1" applyBorder="1" applyAlignment="1">
      <alignment horizontal="center" wrapText="1"/>
    </xf>
    <xf numFmtId="0" fontId="52" fillId="0" borderId="0" xfId="0" applyFont="1" applyProtection="1">
      <protection locked="0"/>
    </xf>
    <xf numFmtId="0" fontId="48" fillId="0" borderId="104" xfId="0" applyFont="1" applyBorder="1" applyProtection="1">
      <protection locked="0"/>
    </xf>
    <xf numFmtId="3" fontId="48" fillId="0" borderId="110" xfId="0" applyNumberFormat="1" applyFont="1" applyBorder="1" applyAlignment="1">
      <alignment wrapText="1"/>
    </xf>
    <xf numFmtId="0" fontId="48" fillId="0" borderId="0" xfId="0" applyFont="1" applyProtection="1">
      <protection locked="0"/>
    </xf>
    <xf numFmtId="0" fontId="48" fillId="0" borderId="105" xfId="0" applyFont="1" applyBorder="1" applyProtection="1">
      <protection locked="0"/>
    </xf>
    <xf numFmtId="3" fontId="20" fillId="0" borderId="111" xfId="0" applyNumberFormat="1" applyFont="1" applyBorder="1" applyAlignment="1">
      <alignment wrapText="1"/>
    </xf>
    <xf numFmtId="0" fontId="20" fillId="0" borderId="0" xfId="0" quotePrefix="1" applyFont="1" applyProtection="1">
      <protection locked="0"/>
    </xf>
    <xf numFmtId="0" fontId="20" fillId="0" borderId="104" xfId="0" applyFont="1" applyBorder="1"/>
    <xf numFmtId="0" fontId="48" fillId="0" borderId="0" xfId="0" applyFont="1"/>
    <xf numFmtId="3" fontId="20" fillId="0" borderId="112" xfId="0" applyNumberFormat="1" applyFont="1" applyBorder="1" applyAlignment="1">
      <alignment wrapText="1"/>
    </xf>
    <xf numFmtId="166" fontId="20" fillId="0" borderId="90" xfId="0" applyNumberFormat="1" applyFont="1" applyBorder="1" applyAlignment="1">
      <alignment wrapText="1"/>
    </xf>
    <xf numFmtId="0" fontId="20" fillId="0" borderId="105" xfId="0" quotePrefix="1" applyFont="1" applyBorder="1" applyProtection="1">
      <protection locked="0"/>
    </xf>
    <xf numFmtId="0" fontId="48" fillId="0" borderId="105" xfId="0" applyFont="1" applyBorder="1"/>
    <xf numFmtId="165" fontId="20" fillId="0" borderId="90" xfId="0" applyNumberFormat="1" applyFont="1" applyBorder="1" applyAlignment="1">
      <alignment wrapText="1"/>
    </xf>
    <xf numFmtId="165" fontId="49" fillId="0" borderId="91" xfId="0" applyNumberFormat="1" applyFont="1" applyBorder="1" applyAlignment="1">
      <alignment wrapText="1"/>
    </xf>
    <xf numFmtId="165" fontId="20" fillId="0" borderId="91" xfId="0" applyNumberFormat="1" applyFont="1" applyBorder="1" applyAlignment="1">
      <alignment wrapText="1"/>
    </xf>
    <xf numFmtId="165" fontId="20" fillId="0" borderId="93" xfId="0" applyNumberFormat="1" applyFont="1" applyBorder="1" applyAlignment="1">
      <alignment wrapText="1"/>
    </xf>
    <xf numFmtId="166" fontId="20" fillId="0" borderId="83" xfId="0" applyNumberFormat="1" applyFont="1" applyBorder="1" applyAlignment="1">
      <alignment wrapText="1"/>
    </xf>
    <xf numFmtId="166" fontId="48" fillId="0" borderId="90" xfId="0" applyNumberFormat="1" applyFont="1" applyBorder="1" applyAlignment="1">
      <alignment wrapText="1"/>
    </xf>
    <xf numFmtId="0" fontId="48" fillId="0" borderId="104" xfId="0" applyFont="1" applyBorder="1"/>
    <xf numFmtId="166" fontId="48" fillId="0" borderId="91" xfId="0" applyNumberFormat="1" applyFont="1" applyBorder="1" applyAlignment="1">
      <alignment wrapText="1"/>
    </xf>
    <xf numFmtId="3" fontId="48" fillId="0" borderId="111" xfId="0" applyNumberFormat="1" applyFont="1" applyBorder="1" applyAlignment="1">
      <alignment wrapText="1"/>
    </xf>
    <xf numFmtId="0" fontId="20" fillId="0" borderId="73" xfId="0" applyFont="1" applyBorder="1" applyProtection="1">
      <protection locked="0"/>
    </xf>
    <xf numFmtId="9" fontId="20" fillId="0" borderId="73" xfId="0" applyNumberFormat="1" applyFont="1" applyBorder="1" applyProtection="1">
      <protection locked="0"/>
    </xf>
    <xf numFmtId="0" fontId="20" fillId="0" borderId="73" xfId="0" applyFont="1" applyBorder="1"/>
    <xf numFmtId="0" fontId="20" fillId="0" borderId="81" xfId="0" applyFont="1" applyBorder="1" applyProtection="1">
      <protection locked="0"/>
    </xf>
    <xf numFmtId="3" fontId="53" fillId="0" borderId="71" xfId="0" applyNumberFormat="1" applyFont="1" applyBorder="1" applyAlignment="1">
      <alignment horizontal="center"/>
    </xf>
    <xf numFmtId="3" fontId="53" fillId="0" borderId="101" xfId="0" applyNumberFormat="1" applyFont="1" applyBorder="1" applyAlignment="1">
      <alignment horizontal="center"/>
    </xf>
    <xf numFmtId="3" fontId="20" fillId="0" borderId="72" xfId="0" applyNumberFormat="1" applyFont="1" applyBorder="1"/>
    <xf numFmtId="3" fontId="47" fillId="0" borderId="104" xfId="0" applyNumberFormat="1" applyFont="1" applyBorder="1"/>
    <xf numFmtId="3" fontId="20" fillId="0" borderId="68" xfId="0" applyNumberFormat="1" applyFont="1" applyBorder="1"/>
    <xf numFmtId="0" fontId="20" fillId="0" borderId="72" xfId="0" applyFont="1" applyBorder="1"/>
    <xf numFmtId="0" fontId="48" fillId="0" borderId="107" xfId="0" applyFont="1" applyBorder="1" applyProtection="1">
      <protection locked="0"/>
    </xf>
    <xf numFmtId="0" fontId="20" fillId="0" borderId="105" xfId="0" applyFont="1" applyBorder="1"/>
    <xf numFmtId="0" fontId="48" fillId="0" borderId="86" xfId="0" applyFont="1" applyBorder="1" applyAlignment="1">
      <alignment horizontal="right" wrapText="1"/>
    </xf>
    <xf numFmtId="166" fontId="20" fillId="0" borderId="94" xfId="0" applyNumberFormat="1" applyFont="1" applyBorder="1"/>
    <xf numFmtId="166" fontId="20" fillId="0" borderId="88" xfId="0" applyNumberFormat="1" applyFont="1" applyBorder="1"/>
    <xf numFmtId="3" fontId="20" fillId="0" borderId="93" xfId="0" applyNumberFormat="1" applyFont="1" applyBorder="1"/>
    <xf numFmtId="3" fontId="48" fillId="0" borderId="72" xfId="0" applyNumberFormat="1" applyFont="1" applyBorder="1"/>
    <xf numFmtId="3" fontId="48" fillId="0" borderId="105" xfId="0" applyNumberFormat="1" applyFont="1" applyBorder="1"/>
    <xf numFmtId="3" fontId="20" fillId="0" borderId="98" xfId="0" applyNumberFormat="1" applyFont="1" applyBorder="1"/>
    <xf numFmtId="3" fontId="20" fillId="0" borderId="74" xfId="0" applyNumberFormat="1" applyFont="1" applyBorder="1"/>
    <xf numFmtId="0" fontId="20" fillId="0" borderId="173" xfId="0" applyFont="1" applyBorder="1" applyAlignment="1" applyProtection="1">
      <alignment horizontal="right"/>
      <protection locked="0"/>
    </xf>
    <xf numFmtId="0" fontId="48" fillId="0" borderId="0" xfId="0" applyFont="1" applyAlignment="1" applyProtection="1">
      <alignment horizontal="right"/>
      <protection locked="0"/>
    </xf>
    <xf numFmtId="0" fontId="40" fillId="0" borderId="107" xfId="0" applyFont="1" applyBorder="1" applyAlignment="1">
      <alignment horizontal="left"/>
    </xf>
    <xf numFmtId="0" fontId="40" fillId="0" borderId="95" xfId="0" applyFont="1" applyBorder="1" applyAlignment="1">
      <alignment horizontal="left"/>
    </xf>
    <xf numFmtId="166" fontId="20" fillId="0" borderId="90" xfId="0" applyNumberFormat="1" applyFont="1" applyBorder="1" applyAlignment="1">
      <alignment vertical="center"/>
    </xf>
    <xf numFmtId="166" fontId="20" fillId="0" borderId="0" xfId="0" applyNumberFormat="1" applyFont="1" applyAlignment="1">
      <alignment wrapText="1"/>
    </xf>
    <xf numFmtId="3" fontId="20" fillId="0" borderId="0" xfId="0" applyNumberFormat="1" applyFont="1" applyAlignment="1">
      <alignment horizontal="left" vertical="center" wrapText="1"/>
    </xf>
    <xf numFmtId="3" fontId="48" fillId="0" borderId="0" xfId="0" applyNumberFormat="1" applyFont="1" applyAlignment="1">
      <alignment vertical="center" wrapText="1"/>
    </xf>
    <xf numFmtId="166" fontId="19" fillId="0" borderId="70" xfId="0" applyNumberFormat="1" applyFont="1" applyBorder="1"/>
    <xf numFmtId="165" fontId="19" fillId="0" borderId="70" xfId="0" applyNumberFormat="1" applyFont="1" applyBorder="1"/>
    <xf numFmtId="2" fontId="40" fillId="0" borderId="88" xfId="1" applyNumberFormat="1" applyFont="1" applyFill="1" applyBorder="1"/>
    <xf numFmtId="0" fontId="19" fillId="0" borderId="75" xfId="0" applyFont="1" applyBorder="1" applyAlignment="1">
      <alignment horizontal="center"/>
    </xf>
    <xf numFmtId="3" fontId="20" fillId="0" borderId="0" xfId="0" applyNumberFormat="1" applyFont="1" applyAlignment="1">
      <alignment horizontal="left"/>
    </xf>
    <xf numFmtId="166" fontId="20" fillId="0" borderId="94" xfId="0" applyNumberFormat="1" applyFont="1" applyBorder="1" applyAlignment="1">
      <alignment horizontal="center"/>
    </xf>
    <xf numFmtId="166" fontId="20" fillId="0" borderId="124" xfId="0" applyNumberFormat="1" applyFont="1" applyBorder="1" applyAlignment="1">
      <alignment horizontal="center"/>
    </xf>
    <xf numFmtId="166" fontId="20" fillId="0" borderId="125" xfId="0" applyNumberFormat="1" applyFont="1" applyBorder="1"/>
    <xf numFmtId="166" fontId="48" fillId="0" borderId="125" xfId="0" applyNumberFormat="1" applyFont="1" applyBorder="1"/>
    <xf numFmtId="14" fontId="19" fillId="0" borderId="0" xfId="0" applyNumberFormat="1" applyFont="1"/>
    <xf numFmtId="0" fontId="48" fillId="0" borderId="179" xfId="0" applyFont="1" applyBorder="1" applyAlignment="1">
      <alignment horizontal="right" wrapText="1"/>
    </xf>
    <xf numFmtId="166" fontId="48" fillId="0" borderId="133" xfId="0" applyNumberFormat="1" applyFont="1" applyBorder="1"/>
    <xf numFmtId="166" fontId="48" fillId="0" borderId="180" xfId="0" applyNumberFormat="1" applyFont="1" applyBorder="1"/>
    <xf numFmtId="166" fontId="20" fillId="0" borderId="92" xfId="0" applyNumberFormat="1" applyFont="1" applyBorder="1"/>
    <xf numFmtId="166" fontId="20" fillId="0" borderId="92" xfId="0" applyNumberFormat="1" applyFont="1" applyBorder="1" applyAlignment="1">
      <alignment horizontal="center"/>
    </xf>
    <xf numFmtId="166" fontId="20" fillId="0" borderId="182" xfId="0" applyNumberFormat="1" applyFont="1" applyBorder="1" applyAlignment="1">
      <alignment horizontal="center"/>
    </xf>
    <xf numFmtId="166" fontId="20" fillId="0" borderId="182" xfId="0" applyNumberFormat="1" applyFont="1" applyBorder="1"/>
    <xf numFmtId="166" fontId="48" fillId="0" borderId="136" xfId="0" applyNumberFormat="1" applyFont="1" applyBorder="1"/>
    <xf numFmtId="166" fontId="48" fillId="0" borderId="183" xfId="0" applyNumberFormat="1" applyFont="1" applyBorder="1"/>
    <xf numFmtId="166" fontId="48" fillId="0" borderId="184" xfId="0" applyNumberFormat="1" applyFont="1" applyBorder="1"/>
    <xf numFmtId="166" fontId="48" fillId="0" borderId="184" xfId="0" applyNumberFormat="1" applyFont="1" applyBorder="1" applyAlignment="1">
      <alignment horizontal="center"/>
    </xf>
    <xf numFmtId="166" fontId="48" fillId="0" borderId="181" xfId="0" applyNumberFormat="1" applyFont="1" applyBorder="1"/>
    <xf numFmtId="0" fontId="20" fillId="0" borderId="94" xfId="0" applyFont="1" applyBorder="1"/>
    <xf numFmtId="3" fontId="20" fillId="0" borderId="184" xfId="0" applyNumberFormat="1" applyFont="1" applyBorder="1" applyAlignment="1">
      <alignment wrapText="1"/>
    </xf>
    <xf numFmtId="166" fontId="20" fillId="0" borderId="124" xfId="0" applyNumberFormat="1" applyFont="1" applyBorder="1"/>
    <xf numFmtId="0" fontId="48" fillId="0" borderId="141" xfId="0" applyFont="1" applyBorder="1" applyAlignment="1" applyProtection="1">
      <alignment horizontal="right"/>
      <protection locked="0"/>
    </xf>
    <xf numFmtId="166" fontId="48" fillId="0" borderId="88" xfId="0" applyNumberFormat="1" applyFont="1" applyBorder="1" applyAlignment="1">
      <alignment wrapText="1"/>
    </xf>
    <xf numFmtId="167" fontId="20" fillId="0" borderId="93" xfId="0" applyNumberFormat="1" applyFont="1" applyBorder="1"/>
    <xf numFmtId="0" fontId="20" fillId="0" borderId="74" xfId="0" applyFont="1" applyBorder="1" applyProtection="1">
      <protection locked="0"/>
    </xf>
    <xf numFmtId="0" fontId="23" fillId="0" borderId="0" xfId="1924" applyFont="1" applyAlignment="1">
      <alignment horizontal="center"/>
    </xf>
    <xf numFmtId="0" fontId="19" fillId="0" borderId="178" xfId="1924" applyFont="1" applyBorder="1"/>
    <xf numFmtId="0" fontId="21" fillId="0" borderId="0" xfId="1924" applyFont="1" applyAlignment="1">
      <alignment horizontal="left"/>
    </xf>
    <xf numFmtId="0" fontId="19" fillId="0" borderId="0" xfId="1924" applyFont="1"/>
    <xf numFmtId="0" fontId="19" fillId="0" borderId="177" xfId="1924" applyFont="1" applyBorder="1" applyAlignment="1">
      <alignment horizontal="right"/>
    </xf>
    <xf numFmtId="0" fontId="19" fillId="0" borderId="175" xfId="1924" applyFont="1" applyBorder="1"/>
    <xf numFmtId="0" fontId="19" fillId="0" borderId="173" xfId="1924" applyFont="1" applyBorder="1" applyAlignment="1">
      <alignment horizontal="left"/>
    </xf>
    <xf numFmtId="0" fontId="19" fillId="0" borderId="73" xfId="1924" applyFont="1" applyBorder="1"/>
    <xf numFmtId="0" fontId="22" fillId="0" borderId="0" xfId="1924" applyFont="1"/>
    <xf numFmtId="0" fontId="22" fillId="0" borderId="0" xfId="1924" applyFont="1" applyAlignment="1">
      <alignment horizontal="right"/>
    </xf>
    <xf numFmtId="169" fontId="19" fillId="0" borderId="15" xfId="1924" applyNumberFormat="1" applyFont="1" applyBorder="1"/>
    <xf numFmtId="0" fontId="19" fillId="0" borderId="189" xfId="1924" applyFont="1" applyBorder="1"/>
    <xf numFmtId="0" fontId="19" fillId="0" borderId="120" xfId="1924" applyFont="1" applyBorder="1"/>
    <xf numFmtId="0" fontId="19" fillId="0" borderId="121" xfId="1924" applyFont="1" applyBorder="1"/>
    <xf numFmtId="2" fontId="19" fillId="0" borderId="92" xfId="1924" applyNumberFormat="1" applyFont="1" applyBorder="1"/>
    <xf numFmtId="0" fontId="22" fillId="0" borderId="178" xfId="1924" applyFont="1" applyBorder="1"/>
    <xf numFmtId="0" fontId="22" fillId="0" borderId="189" xfId="1924" applyFont="1" applyBorder="1"/>
    <xf numFmtId="2" fontId="19" fillId="0" borderId="0" xfId="1924" applyNumberFormat="1" applyFont="1"/>
    <xf numFmtId="2" fontId="22" fillId="0" borderId="0" xfId="1924" applyNumberFormat="1" applyFont="1" applyAlignment="1">
      <alignment horizontal="right"/>
    </xf>
    <xf numFmtId="2" fontId="22" fillId="0" borderId="0" xfId="1924" applyNumberFormat="1" applyFont="1"/>
    <xf numFmtId="0" fontId="19" fillId="0" borderId="74" xfId="1924" applyFont="1" applyBorder="1"/>
    <xf numFmtId="0" fontId="19" fillId="0" borderId="75" xfId="1924" applyFont="1" applyBorder="1"/>
    <xf numFmtId="0" fontId="19" fillId="0" borderId="81" xfId="1924" applyFont="1" applyBorder="1"/>
    <xf numFmtId="0" fontId="57" fillId="0" borderId="0" xfId="1925" applyFont="1"/>
    <xf numFmtId="0" fontId="2" fillId="0" borderId="0" xfId="1925" applyFont="1"/>
    <xf numFmtId="14" fontId="58" fillId="0" borderId="0" xfId="1925" applyNumberFormat="1" applyFont="1" applyAlignment="1">
      <alignment horizontal="left"/>
    </xf>
    <xf numFmtId="0" fontId="56" fillId="0" borderId="0" xfId="1925"/>
    <xf numFmtId="0" fontId="56" fillId="5" borderId="176" xfId="1925" applyFill="1" applyBorder="1"/>
    <xf numFmtId="0" fontId="56" fillId="5" borderId="0" xfId="1925" applyFill="1"/>
    <xf numFmtId="175" fontId="60" fillId="0" borderId="0" xfId="1925" applyNumberFormat="1" applyFont="1"/>
    <xf numFmtId="175" fontId="0" fillId="0" borderId="0" xfId="0" applyNumberFormat="1"/>
    <xf numFmtId="14" fontId="59" fillId="0" borderId="176" xfId="0" applyNumberFormat="1" applyFont="1" applyBorder="1" applyAlignment="1">
      <alignment horizontal="center"/>
    </xf>
    <xf numFmtId="178" fontId="48" fillId="0" borderId="104" xfId="0" applyNumberFormat="1" applyFont="1" applyBorder="1"/>
    <xf numFmtId="178" fontId="48" fillId="0" borderId="90" xfId="0" applyNumberFormat="1" applyFont="1" applyBorder="1" applyAlignment="1">
      <alignment wrapText="1"/>
    </xf>
    <xf numFmtId="178" fontId="48" fillId="0" borderId="0" xfId="0" applyNumberFormat="1" applyFont="1" applyAlignment="1">
      <alignment wrapText="1"/>
    </xf>
    <xf numFmtId="178" fontId="48" fillId="0" borderId="0" xfId="0" applyNumberFormat="1" applyFont="1"/>
    <xf numFmtId="178" fontId="20" fillId="0" borderId="94" xfId="0" applyNumberFormat="1" applyFont="1" applyBorder="1" applyAlignment="1">
      <alignment horizontal="left" wrapText="1" indent="1"/>
    </xf>
    <xf numFmtId="178" fontId="49" fillId="0" borderId="104" xfId="0" applyNumberFormat="1" applyFont="1" applyBorder="1"/>
    <xf numFmtId="178" fontId="50" fillId="0" borderId="0" xfId="0" applyNumberFormat="1" applyFont="1" applyAlignment="1">
      <alignment wrapText="1"/>
    </xf>
    <xf numFmtId="178" fontId="49" fillId="0" borderId="0" xfId="0" applyNumberFormat="1" applyFont="1"/>
    <xf numFmtId="166" fontId="48" fillId="0" borderId="91" xfId="1" applyNumberFormat="1" applyFont="1" applyFill="1" applyBorder="1" applyAlignment="1">
      <alignment horizontal="center"/>
    </xf>
    <xf numFmtId="166" fontId="48" fillId="0" borderId="105" xfId="0" applyNumberFormat="1" applyFont="1" applyBorder="1"/>
    <xf numFmtId="166" fontId="20" fillId="0" borderId="91" xfId="1" applyNumberFormat="1" applyFont="1" applyFill="1" applyBorder="1" applyAlignment="1">
      <alignment horizontal="center"/>
    </xf>
    <xf numFmtId="166" fontId="49" fillId="0" borderId="91" xfId="1" applyNumberFormat="1" applyFont="1" applyFill="1" applyBorder="1" applyAlignment="1">
      <alignment horizontal="center"/>
    </xf>
    <xf numFmtId="166" fontId="49" fillId="0" borderId="105" xfId="0" applyNumberFormat="1" applyFont="1" applyBorder="1"/>
    <xf numFmtId="166" fontId="50" fillId="0" borderId="0" xfId="0" applyNumberFormat="1" applyFont="1"/>
    <xf numFmtId="166" fontId="20" fillId="0" borderId="105" xfId="0" applyNumberFormat="1" applyFont="1" applyBorder="1"/>
    <xf numFmtId="166" fontId="20" fillId="0" borderId="93" xfId="1" applyNumberFormat="1" applyFont="1" applyFill="1" applyBorder="1" applyAlignment="1">
      <alignment horizontal="center" wrapText="1"/>
    </xf>
    <xf numFmtId="166" fontId="20" fillId="0" borderId="93" xfId="0" applyNumberFormat="1" applyFont="1" applyBorder="1" applyAlignment="1">
      <alignment horizontal="center" wrapText="1"/>
    </xf>
    <xf numFmtId="166" fontId="20" fillId="0" borderId="126" xfId="0" applyNumberFormat="1" applyFont="1" applyBorder="1" applyAlignment="1">
      <alignment horizontal="center" wrapText="1"/>
    </xf>
    <xf numFmtId="166" fontId="20" fillId="0" borderId="134" xfId="0" applyNumberFormat="1" applyFont="1" applyBorder="1" applyAlignment="1">
      <alignment wrapText="1"/>
    </xf>
    <xf numFmtId="166" fontId="48" fillId="0" borderId="105" xfId="0" applyNumberFormat="1" applyFont="1" applyBorder="1" applyAlignment="1">
      <alignment vertical="center"/>
    </xf>
    <xf numFmtId="166" fontId="48" fillId="0" borderId="0" xfId="1" applyNumberFormat="1" applyFont="1" applyFill="1" applyBorder="1" applyAlignment="1">
      <alignment horizontal="center"/>
    </xf>
    <xf numFmtId="166" fontId="20" fillId="0" borderId="105" xfId="0" applyNumberFormat="1" applyFont="1" applyBorder="1" applyAlignment="1">
      <alignment horizontal="left" vertical="center"/>
    </xf>
    <xf numFmtId="166" fontId="20" fillId="0" borderId="0" xfId="0" applyNumberFormat="1" applyFont="1" applyAlignment="1">
      <alignment horizontal="left" vertical="center"/>
    </xf>
    <xf numFmtId="166" fontId="20" fillId="0" borderId="90" xfId="1" applyNumberFormat="1" applyFont="1" applyFill="1" applyBorder="1" applyAlignment="1">
      <alignment horizontal="center"/>
    </xf>
    <xf numFmtId="166" fontId="20" fillId="0" borderId="0" xfId="0" applyNumberFormat="1" applyFont="1" applyAlignment="1">
      <alignment horizontal="right" wrapText="1"/>
    </xf>
    <xf numFmtId="166" fontId="20" fillId="0" borderId="93" xfId="1" applyNumberFormat="1" applyFont="1" applyFill="1" applyBorder="1" applyAlignment="1">
      <alignment horizontal="center"/>
    </xf>
    <xf numFmtId="166" fontId="48" fillId="0" borderId="184" xfId="1" applyNumberFormat="1" applyFont="1" applyFill="1" applyBorder="1" applyAlignment="1">
      <alignment horizontal="center"/>
    </xf>
    <xf numFmtId="166" fontId="20" fillId="0" borderId="94" xfId="1" applyNumberFormat="1" applyFont="1" applyFill="1" applyBorder="1" applyAlignment="1">
      <alignment horizontal="center"/>
    </xf>
    <xf numFmtId="166" fontId="20" fillId="0" borderId="92" xfId="1" applyNumberFormat="1" applyFont="1" applyFill="1" applyBorder="1" applyAlignment="1">
      <alignment horizontal="center"/>
    </xf>
    <xf numFmtId="166" fontId="48" fillId="0" borderId="0" xfId="1" applyNumberFormat="1" applyFont="1" applyFill="1" applyBorder="1" applyAlignment="1">
      <alignment horizontal="center" vertical="center"/>
    </xf>
    <xf numFmtId="166" fontId="48" fillId="0" borderId="0" xfId="0" applyNumberFormat="1" applyFont="1" applyAlignment="1">
      <alignment horizontal="center" vertical="center"/>
    </xf>
    <xf numFmtId="166" fontId="48" fillId="0" borderId="122" xfId="0" applyNumberFormat="1" applyFont="1" applyBorder="1" applyAlignment="1">
      <alignment horizontal="center" vertical="center"/>
    </xf>
    <xf numFmtId="166" fontId="48" fillId="0" borderId="135" xfId="0" applyNumberFormat="1" applyFont="1" applyBorder="1" applyAlignment="1">
      <alignment vertical="center"/>
    </xf>
    <xf numFmtId="166" fontId="20" fillId="0" borderId="104" xfId="0" applyNumberFormat="1" applyFont="1" applyBorder="1"/>
    <xf numFmtId="166" fontId="20" fillId="0" borderId="0" xfId="1" applyNumberFormat="1" applyFont="1" applyFill="1" applyBorder="1" applyAlignment="1">
      <alignment horizontal="center"/>
    </xf>
    <xf numFmtId="166" fontId="20" fillId="0" borderId="122" xfId="0" applyNumberFormat="1" applyFont="1" applyBorder="1" applyAlignment="1">
      <alignment horizontal="center"/>
    </xf>
    <xf numFmtId="166" fontId="48" fillId="0" borderId="122" xfId="0" applyNumberFormat="1" applyFont="1" applyBorder="1"/>
    <xf numFmtId="166" fontId="20" fillId="0" borderId="103" xfId="1" applyNumberFormat="1" applyFont="1" applyFill="1" applyBorder="1" applyAlignment="1">
      <alignment horizontal="center"/>
    </xf>
    <xf numFmtId="166" fontId="20" fillId="0" borderId="105" xfId="1" applyNumberFormat="1" applyFont="1" applyFill="1" applyBorder="1" applyAlignment="1">
      <alignment horizontal="center"/>
    </xf>
    <xf numFmtId="166" fontId="20" fillId="0" borderId="137" xfId="1" applyNumberFormat="1" applyFont="1" applyFill="1" applyBorder="1" applyAlignment="1">
      <alignment horizontal="center"/>
    </xf>
    <xf numFmtId="166" fontId="20" fillId="0" borderId="129" xfId="0" applyNumberFormat="1" applyFont="1" applyBorder="1"/>
    <xf numFmtId="166" fontId="20" fillId="0" borderId="133" xfId="0" applyNumberFormat="1" applyFont="1" applyBorder="1"/>
    <xf numFmtId="4" fontId="28" fillId="0" borderId="0" xfId="0" applyNumberFormat="1" applyFont="1"/>
    <xf numFmtId="0" fontId="19" fillId="0" borderId="178" xfId="0" applyFont="1" applyBorder="1"/>
    <xf numFmtId="166" fontId="20" fillId="0" borderId="94" xfId="0" applyNumberFormat="1" applyFont="1" applyBorder="1" applyAlignment="1">
      <alignment wrapText="1"/>
    </xf>
    <xf numFmtId="166" fontId="48" fillId="0" borderId="0" xfId="0" applyNumberFormat="1" applyFont="1" applyAlignment="1">
      <alignment wrapText="1"/>
    </xf>
    <xf numFmtId="166" fontId="48" fillId="0" borderId="0" xfId="0" applyNumberFormat="1" applyFont="1" applyAlignment="1">
      <alignment vertical="center" wrapText="1"/>
    </xf>
    <xf numFmtId="1" fontId="48" fillId="0" borderId="0" xfId="0" applyNumberFormat="1" applyFont="1" applyAlignment="1">
      <alignment horizontal="center"/>
    </xf>
    <xf numFmtId="166" fontId="49" fillId="0" borderId="133" xfId="0" applyNumberFormat="1" applyFont="1" applyBorder="1" applyAlignment="1">
      <alignment wrapText="1"/>
    </xf>
    <xf numFmtId="166" fontId="49" fillId="0" borderId="15" xfId="0" applyNumberFormat="1" applyFont="1" applyBorder="1" applyAlignment="1">
      <alignment wrapText="1"/>
    </xf>
    <xf numFmtId="166" fontId="48" fillId="0" borderId="94" xfId="0" applyNumberFormat="1" applyFont="1" applyBorder="1"/>
    <xf numFmtId="166" fontId="48" fillId="0" borderId="197" xfId="0" applyNumberFormat="1" applyFont="1" applyBorder="1"/>
    <xf numFmtId="166" fontId="48" fillId="0" borderId="87" xfId="0" applyNumberFormat="1" applyFont="1" applyBorder="1" applyAlignment="1">
      <alignment vertical="center"/>
    </xf>
    <xf numFmtId="166" fontId="20" fillId="0" borderId="197" xfId="0" applyNumberFormat="1" applyFont="1" applyBorder="1"/>
    <xf numFmtId="165" fontId="20" fillId="0" borderId="87" xfId="0" applyNumberFormat="1" applyFont="1" applyBorder="1" applyAlignment="1">
      <alignment wrapText="1"/>
    </xf>
    <xf numFmtId="0" fontId="54" fillId="0" borderId="0" xfId="0" applyFont="1" applyAlignment="1" applyProtection="1">
      <alignment wrapText="1"/>
      <protection locked="0"/>
    </xf>
    <xf numFmtId="0" fontId="54" fillId="0" borderId="0" xfId="0" applyFont="1" applyProtection="1">
      <protection locked="0"/>
    </xf>
    <xf numFmtId="166" fontId="54" fillId="0" borderId="0" xfId="0" applyNumberFormat="1" applyFont="1" applyProtection="1">
      <protection locked="0"/>
    </xf>
    <xf numFmtId="9" fontId="48" fillId="0" borderId="111" xfId="1" applyFont="1" applyFill="1" applyBorder="1" applyAlignment="1">
      <alignment wrapText="1"/>
    </xf>
    <xf numFmtId="9" fontId="20" fillId="0" borderId="107" xfId="1" applyFont="1" applyFill="1" applyBorder="1" applyAlignment="1">
      <alignment wrapText="1"/>
    </xf>
    <xf numFmtId="9" fontId="20" fillId="0" borderId="111" xfId="1" applyFont="1" applyFill="1" applyBorder="1" applyAlignment="1">
      <alignment wrapText="1"/>
    </xf>
    <xf numFmtId="9" fontId="20" fillId="0" borderId="84" xfId="1" applyFont="1" applyFill="1" applyBorder="1" applyAlignment="1">
      <alignment wrapText="1"/>
    </xf>
    <xf numFmtId="9" fontId="20" fillId="0" borderId="111" xfId="1" applyFont="1" applyBorder="1" applyAlignment="1">
      <alignment wrapText="1"/>
    </xf>
    <xf numFmtId="166" fontId="20" fillId="0" borderId="137" xfId="0" applyNumberFormat="1" applyFont="1" applyBorder="1" applyAlignment="1">
      <alignment wrapText="1"/>
    </xf>
    <xf numFmtId="166" fontId="20" fillId="0" borderId="140" xfId="0" applyNumberFormat="1" applyFont="1" applyBorder="1" applyAlignment="1">
      <alignment wrapText="1"/>
    </xf>
    <xf numFmtId="166" fontId="48" fillId="0" borderId="138" xfId="0" applyNumberFormat="1" applyFont="1" applyBorder="1" applyAlignment="1">
      <alignment wrapText="1"/>
    </xf>
    <xf numFmtId="166" fontId="20" fillId="0" borderId="108" xfId="0" applyNumberFormat="1" applyFont="1" applyBorder="1" applyAlignment="1">
      <alignment wrapText="1"/>
    </xf>
    <xf numFmtId="166" fontId="48" fillId="0" borderId="108" xfId="0" applyNumberFormat="1" applyFont="1" applyBorder="1" applyAlignment="1">
      <alignment wrapText="1"/>
    </xf>
    <xf numFmtId="165" fontId="20" fillId="0" borderId="199" xfId="0" applyNumberFormat="1" applyFont="1" applyBorder="1" applyAlignment="1">
      <alignment wrapText="1"/>
    </xf>
    <xf numFmtId="165" fontId="20" fillId="0" borderId="200" xfId="0" applyNumberFormat="1" applyFont="1" applyBorder="1" applyAlignment="1">
      <alignment wrapText="1"/>
    </xf>
    <xf numFmtId="165" fontId="20" fillId="0" borderId="137" xfId="0" applyNumberFormat="1" applyFont="1" applyBorder="1" applyAlignment="1">
      <alignment wrapText="1"/>
    </xf>
    <xf numFmtId="165" fontId="20" fillId="0" borderId="140" xfId="0" applyNumberFormat="1" applyFont="1" applyBorder="1" applyAlignment="1">
      <alignment wrapText="1"/>
    </xf>
    <xf numFmtId="166" fontId="20" fillId="0" borderId="85" xfId="0" applyNumberFormat="1" applyFont="1" applyBorder="1" applyAlignment="1">
      <alignment wrapText="1"/>
    </xf>
    <xf numFmtId="166" fontId="20" fillId="0" borderId="138" xfId="0" applyNumberFormat="1" applyFont="1" applyBorder="1" applyAlignment="1">
      <alignment wrapText="1"/>
    </xf>
    <xf numFmtId="0" fontId="52" fillId="0" borderId="203" xfId="0" applyFont="1" applyBorder="1" applyProtection="1">
      <protection locked="0"/>
    </xf>
    <xf numFmtId="3" fontId="20" fillId="0" borderId="203" xfId="0" applyNumberFormat="1" applyFont="1" applyBorder="1" applyAlignment="1">
      <alignment wrapText="1"/>
    </xf>
    <xf numFmtId="166" fontId="54" fillId="0" borderId="203" xfId="0" applyNumberFormat="1" applyFont="1" applyBorder="1" applyProtection="1">
      <protection locked="0"/>
    </xf>
    <xf numFmtId="3" fontId="48" fillId="0" borderId="203" xfId="0" applyNumberFormat="1" applyFont="1" applyBorder="1" applyAlignment="1">
      <alignment wrapText="1"/>
    </xf>
    <xf numFmtId="0" fontId="20" fillId="0" borderId="203" xfId="0" applyFont="1" applyBorder="1" applyAlignment="1">
      <alignment wrapText="1"/>
    </xf>
    <xf numFmtId="0" fontId="48" fillId="0" borderId="203" xfId="0" applyFont="1" applyBorder="1" applyAlignment="1">
      <alignment wrapText="1"/>
    </xf>
    <xf numFmtId="165" fontId="20" fillId="0" borderId="203" xfId="0" applyNumberFormat="1" applyFont="1" applyBorder="1" applyAlignment="1">
      <alignment wrapText="1"/>
    </xf>
    <xf numFmtId="165" fontId="49" fillId="0" borderId="203" xfId="0" applyNumberFormat="1" applyFont="1" applyBorder="1" applyAlignment="1">
      <alignment wrapText="1"/>
    </xf>
    <xf numFmtId="0" fontId="48" fillId="0" borderId="194" xfId="0" applyFont="1" applyBorder="1" applyAlignment="1" applyProtection="1">
      <alignment horizontal="center"/>
      <protection locked="0"/>
    </xf>
    <xf numFmtId="166" fontId="48" fillId="0" borderId="96" xfId="0" applyNumberFormat="1" applyFont="1" applyBorder="1" applyAlignment="1">
      <alignment wrapText="1"/>
    </xf>
    <xf numFmtId="0" fontId="48" fillId="0" borderId="204" xfId="0" applyFont="1" applyBorder="1" applyAlignment="1" applyProtection="1">
      <alignment horizontal="right"/>
      <protection locked="0"/>
    </xf>
    <xf numFmtId="3" fontId="48" fillId="0" borderId="139" xfId="0" applyNumberFormat="1" applyFont="1" applyBorder="1" applyAlignment="1">
      <alignment horizontal="center"/>
    </xf>
    <xf numFmtId="0" fontId="20" fillId="0" borderId="175" xfId="0" applyFont="1" applyBorder="1" applyAlignment="1" applyProtection="1">
      <alignment horizontal="left"/>
      <protection locked="0"/>
    </xf>
    <xf numFmtId="0" fontId="22" fillId="0" borderId="205" xfId="0" applyFont="1" applyBorder="1"/>
    <xf numFmtId="0" fontId="22" fillId="0" borderId="206" xfId="0" applyFont="1" applyBorder="1" applyAlignment="1">
      <alignment horizontal="right" wrapText="1"/>
    </xf>
    <xf numFmtId="0" fontId="22" fillId="0" borderId="207" xfId="0" applyFont="1" applyBorder="1" applyAlignment="1">
      <alignment horizontal="right" wrapText="1"/>
    </xf>
    <xf numFmtId="0" fontId="22" fillId="0" borderId="208" xfId="0" applyFont="1" applyBorder="1" applyAlignment="1">
      <alignment horizontal="right" wrapText="1"/>
    </xf>
    <xf numFmtId="0" fontId="19" fillId="0" borderId="209" xfId="0" applyFont="1" applyBorder="1"/>
    <xf numFmtId="0" fontId="22" fillId="0" borderId="209" xfId="0" applyFont="1" applyBorder="1"/>
    <xf numFmtId="0" fontId="19" fillId="0" borderId="189" xfId="0" applyFont="1" applyBorder="1"/>
    <xf numFmtId="14" fontId="19" fillId="0" borderId="0" xfId="0" applyNumberFormat="1" applyFont="1" applyAlignment="1">
      <alignment horizontal="left"/>
    </xf>
    <xf numFmtId="3" fontId="61" fillId="0" borderId="0" xfId="0" applyNumberFormat="1" applyFont="1"/>
    <xf numFmtId="3" fontId="45" fillId="0" borderId="0" xfId="0" applyNumberFormat="1" applyFont="1"/>
    <xf numFmtId="0" fontId="62" fillId="0" borderId="0" xfId="0" applyFont="1"/>
    <xf numFmtId="179" fontId="56" fillId="5" borderId="0" xfId="1925" applyNumberFormat="1" applyFill="1"/>
    <xf numFmtId="0" fontId="48" fillId="0" borderId="0" xfId="0" applyFont="1" applyAlignment="1">
      <alignment horizontal="right" wrapText="1"/>
    </xf>
    <xf numFmtId="166" fontId="20" fillId="5" borderId="90" xfId="0" applyNumberFormat="1" applyFont="1" applyFill="1" applyBorder="1"/>
    <xf numFmtId="0" fontId="40" fillId="0" borderId="0" xfId="0" applyFont="1" applyAlignment="1">
      <alignment horizontal="left"/>
    </xf>
    <xf numFmtId="0" fontId="40" fillId="0" borderId="98" xfId="0" applyFont="1" applyBorder="1" applyAlignment="1">
      <alignment horizontal="left"/>
    </xf>
    <xf numFmtId="0" fontId="1" fillId="0" borderId="0" xfId="1925" applyFont="1"/>
    <xf numFmtId="0" fontId="34" fillId="0" borderId="5" xfId="0" applyFont="1" applyBorder="1" applyAlignment="1">
      <alignment horizontal="center"/>
    </xf>
    <xf numFmtId="0" fontId="56" fillId="0" borderId="176" xfId="1925" applyBorder="1"/>
    <xf numFmtId="0" fontId="56" fillId="0" borderId="0" xfId="1925" applyAlignment="1">
      <alignment horizontal="center"/>
    </xf>
    <xf numFmtId="3" fontId="66" fillId="7" borderId="194" xfId="0" applyNumberFormat="1" applyFont="1" applyFill="1" applyBorder="1" applyAlignment="1">
      <alignment horizontal="center"/>
    </xf>
    <xf numFmtId="0" fontId="58" fillId="0" borderId="0" xfId="1925" applyFont="1"/>
    <xf numFmtId="0" fontId="58" fillId="0" borderId="0" xfId="1925" applyFont="1" applyAlignment="1">
      <alignment horizontal="center"/>
    </xf>
    <xf numFmtId="3" fontId="65" fillId="7" borderId="187" xfId="1925" applyNumberFormat="1" applyFont="1" applyFill="1" applyBorder="1"/>
    <xf numFmtId="3" fontId="65" fillId="7" borderId="174" xfId="1925" applyNumberFormat="1" applyFont="1" applyFill="1" applyBorder="1" applyAlignment="1">
      <alignment horizontal="center"/>
    </xf>
    <xf numFmtId="3" fontId="65" fillId="7" borderId="188" xfId="1925" applyNumberFormat="1" applyFont="1" applyFill="1" applyBorder="1" applyAlignment="1">
      <alignment horizontal="center"/>
    </xf>
    <xf numFmtId="3" fontId="65" fillId="7" borderId="194" xfId="1925" applyNumberFormat="1" applyFont="1" applyFill="1" applyBorder="1" applyAlignment="1">
      <alignment horizontal="center"/>
    </xf>
    <xf numFmtId="3" fontId="67" fillId="7" borderId="194" xfId="1925" applyNumberFormat="1" applyFont="1" applyFill="1" applyBorder="1" applyAlignment="1">
      <alignment horizontal="center"/>
    </xf>
    <xf numFmtId="3" fontId="65" fillId="7" borderId="173" xfId="1925" applyNumberFormat="1" applyFont="1" applyFill="1" applyBorder="1"/>
    <xf numFmtId="9" fontId="56" fillId="0" borderId="0" xfId="1" applyFont="1" applyFill="1" applyBorder="1"/>
    <xf numFmtId="9" fontId="58" fillId="0" borderId="0" xfId="1" applyFont="1" applyFill="1" applyBorder="1" applyAlignment="1">
      <alignment horizontal="center"/>
    </xf>
    <xf numFmtId="9" fontId="56" fillId="0" borderId="0" xfId="1" applyFont="1" applyFill="1"/>
    <xf numFmtId="180" fontId="58" fillId="0" borderId="0" xfId="1925" applyNumberFormat="1" applyFont="1" applyAlignment="1">
      <alignment horizontal="center"/>
    </xf>
    <xf numFmtId="180" fontId="56" fillId="0" borderId="0" xfId="1925" applyNumberFormat="1"/>
    <xf numFmtId="180" fontId="56" fillId="0" borderId="212" xfId="1925" applyNumberFormat="1" applyBorder="1" applyAlignment="1">
      <alignment horizontal="center"/>
    </xf>
    <xf numFmtId="180" fontId="56" fillId="0" borderId="190" xfId="1925" applyNumberFormat="1" applyBorder="1" applyAlignment="1">
      <alignment horizontal="center"/>
    </xf>
    <xf numFmtId="0" fontId="58" fillId="0" borderId="213" xfId="1925" applyFont="1" applyBorder="1"/>
    <xf numFmtId="0" fontId="58" fillId="0" borderId="214" xfId="1925" applyFont="1" applyBorder="1"/>
    <xf numFmtId="0" fontId="58" fillId="0" borderId="215" xfId="1925" applyFont="1" applyBorder="1"/>
    <xf numFmtId="180" fontId="56" fillId="0" borderId="216" xfId="1925" applyNumberFormat="1" applyBorder="1" applyAlignment="1">
      <alignment horizontal="center"/>
    </xf>
    <xf numFmtId="9" fontId="56" fillId="0" borderId="0" xfId="1" applyFont="1" applyBorder="1" applyAlignment="1">
      <alignment horizontal="left"/>
    </xf>
    <xf numFmtId="0" fontId="58" fillId="7" borderId="177" xfId="1925" applyFont="1" applyFill="1" applyBorder="1"/>
    <xf numFmtId="0" fontId="58" fillId="7" borderId="175" xfId="1925" applyFont="1" applyFill="1" applyBorder="1" applyAlignment="1">
      <alignment horizontal="center"/>
    </xf>
    <xf numFmtId="180" fontId="58" fillId="7" borderId="173" xfId="1925" applyNumberFormat="1" applyFont="1" applyFill="1" applyBorder="1" applyAlignment="1">
      <alignment horizontal="center"/>
    </xf>
    <xf numFmtId="3" fontId="65" fillId="7" borderId="194" xfId="1925" applyNumberFormat="1" applyFont="1" applyFill="1" applyBorder="1" applyAlignment="1">
      <alignment horizontal="right"/>
    </xf>
    <xf numFmtId="0" fontId="1" fillId="0" borderId="0" xfId="1925" applyFont="1" applyAlignment="1">
      <alignment horizontal="left"/>
    </xf>
    <xf numFmtId="49" fontId="58" fillId="0" borderId="213" xfId="1925" applyNumberFormat="1" applyFont="1" applyBorder="1"/>
    <xf numFmtId="49" fontId="58" fillId="0" borderId="214" xfId="1925" applyNumberFormat="1" applyFont="1" applyBorder="1"/>
    <xf numFmtId="49" fontId="58" fillId="0" borderId="215" xfId="1925" applyNumberFormat="1" applyFont="1" applyBorder="1"/>
    <xf numFmtId="180" fontId="0" fillId="0" borderId="218" xfId="0" applyNumberFormat="1" applyBorder="1"/>
    <xf numFmtId="180" fontId="0" fillId="0" borderId="219" xfId="0" applyNumberFormat="1" applyBorder="1"/>
    <xf numFmtId="180" fontId="0" fillId="0" borderId="220" xfId="0" applyNumberFormat="1" applyBorder="1"/>
    <xf numFmtId="180" fontId="0" fillId="0" borderId="221" xfId="0" applyNumberFormat="1" applyBorder="1"/>
    <xf numFmtId="180" fontId="0" fillId="0" borderId="222" xfId="0" applyNumberFormat="1" applyBorder="1"/>
    <xf numFmtId="3" fontId="66" fillId="7" borderId="223" xfId="0" applyNumberFormat="1" applyFont="1" applyFill="1" applyBorder="1" applyAlignment="1">
      <alignment horizontal="center"/>
    </xf>
    <xf numFmtId="3" fontId="66" fillId="7" borderId="224" xfId="0" applyNumberFormat="1" applyFont="1" applyFill="1" applyBorder="1" applyAlignment="1">
      <alignment horizontal="center"/>
    </xf>
    <xf numFmtId="3" fontId="66" fillId="7" borderId="225" xfId="0" applyNumberFormat="1" applyFont="1" applyFill="1" applyBorder="1" applyAlignment="1">
      <alignment horizontal="center"/>
    </xf>
    <xf numFmtId="14" fontId="67" fillId="7" borderId="204" xfId="0" applyNumberFormat="1" applyFont="1" applyFill="1" applyBorder="1" applyAlignment="1">
      <alignment horizontal="center" wrapText="1"/>
    </xf>
    <xf numFmtId="14" fontId="65" fillId="7" borderId="195" xfId="0" applyNumberFormat="1" applyFont="1" applyFill="1" applyBorder="1" applyAlignment="1">
      <alignment horizontal="center" wrapText="1"/>
    </xf>
    <xf numFmtId="14" fontId="67" fillId="7" borderId="194" xfId="0" applyNumberFormat="1" applyFont="1" applyFill="1" applyBorder="1" applyAlignment="1">
      <alignment horizontal="center"/>
    </xf>
    <xf numFmtId="14" fontId="0" fillId="0" borderId="227" xfId="0" applyNumberFormat="1" applyBorder="1" applyAlignment="1">
      <alignment horizontal="center"/>
    </xf>
    <xf numFmtId="14" fontId="0" fillId="0" borderId="193" xfId="0" applyNumberFormat="1" applyBorder="1" applyAlignment="1">
      <alignment horizontal="center"/>
    </xf>
    <xf numFmtId="14" fontId="0" fillId="0" borderId="196" xfId="0" applyNumberFormat="1" applyBorder="1" applyAlignment="1">
      <alignment horizontal="center"/>
    </xf>
    <xf numFmtId="180" fontId="0" fillId="0" borderId="228" xfId="0" applyNumberFormat="1" applyBorder="1"/>
    <xf numFmtId="0" fontId="70" fillId="7" borderId="118" xfId="1924" applyFont="1" applyFill="1" applyBorder="1" applyAlignment="1">
      <alignment horizontal="right"/>
    </xf>
    <xf numFmtId="2" fontId="70" fillId="7" borderId="118" xfId="1924" applyNumberFormat="1" applyFont="1" applyFill="1" applyBorder="1" applyAlignment="1">
      <alignment horizontal="right"/>
    </xf>
    <xf numFmtId="0" fontId="22" fillId="7" borderId="99" xfId="1924" applyFont="1" applyFill="1" applyBorder="1"/>
    <xf numFmtId="0" fontId="22" fillId="7" borderId="97" xfId="1924" applyFont="1" applyFill="1" applyBorder="1"/>
    <xf numFmtId="2" fontId="22" fillId="7" borderId="86" xfId="1924" applyNumberFormat="1" applyFont="1" applyFill="1" applyBorder="1"/>
    <xf numFmtId="0" fontId="71" fillId="0" borderId="0" xfId="1925" applyFont="1"/>
    <xf numFmtId="166" fontId="48" fillId="8" borderId="91" xfId="0" applyNumberFormat="1" applyFont="1" applyFill="1" applyBorder="1"/>
    <xf numFmtId="166" fontId="20" fillId="8" borderId="91" xfId="0" applyNumberFormat="1" applyFont="1" applyFill="1" applyBorder="1"/>
    <xf numFmtId="166" fontId="20" fillId="8" borderId="93" xfId="0" applyNumberFormat="1" applyFont="1" applyFill="1" applyBorder="1"/>
    <xf numFmtId="166" fontId="20" fillId="8" borderId="92" xfId="0" applyNumberFormat="1" applyFont="1" applyFill="1" applyBorder="1"/>
    <xf numFmtId="166" fontId="20" fillId="8" borderId="94" xfId="0" applyNumberFormat="1" applyFont="1" applyFill="1" applyBorder="1"/>
    <xf numFmtId="166" fontId="20" fillId="8" borderId="90" xfId="0" applyNumberFormat="1" applyFont="1" applyFill="1" applyBorder="1"/>
    <xf numFmtId="179" fontId="68" fillId="0" borderId="0" xfId="0" applyNumberFormat="1" applyFont="1"/>
    <xf numFmtId="9" fontId="56" fillId="0" borderId="229" xfId="1" applyFont="1" applyFill="1" applyBorder="1" applyAlignment="1">
      <alignment horizontal="center"/>
    </xf>
    <xf numFmtId="9" fontId="56" fillId="0" borderId="229" xfId="1" applyFont="1" applyBorder="1" applyAlignment="1">
      <alignment horizontal="center"/>
    </xf>
    <xf numFmtId="9" fontId="0" fillId="0" borderId="229" xfId="1" applyFont="1" applyBorder="1" applyAlignment="1">
      <alignment horizontal="center"/>
    </xf>
    <xf numFmtId="9" fontId="0" fillId="0" borderId="230" xfId="1" applyFont="1" applyBorder="1" applyAlignment="1">
      <alignment horizontal="center"/>
    </xf>
    <xf numFmtId="9" fontId="56" fillId="0" borderId="211" xfId="1" applyFont="1" applyFill="1" applyBorder="1" applyAlignment="1">
      <alignment horizontal="center"/>
    </xf>
    <xf numFmtId="9" fontId="56" fillId="0" borderId="211" xfId="1" applyFont="1" applyBorder="1" applyAlignment="1">
      <alignment horizontal="center"/>
    </xf>
    <xf numFmtId="9" fontId="0" fillId="0" borderId="211" xfId="1" applyFont="1" applyBorder="1" applyAlignment="1">
      <alignment horizontal="center"/>
    </xf>
    <xf numFmtId="9" fontId="0" fillId="0" borderId="231" xfId="1" applyFont="1" applyBorder="1" applyAlignment="1">
      <alignment horizontal="center"/>
    </xf>
    <xf numFmtId="9" fontId="0" fillId="0" borderId="211" xfId="1" applyFont="1" applyFill="1" applyBorder="1" applyAlignment="1">
      <alignment horizontal="center"/>
    </xf>
    <xf numFmtId="9" fontId="0" fillId="0" borderId="231" xfId="1" applyFont="1" applyFill="1" applyBorder="1" applyAlignment="1">
      <alignment horizontal="center"/>
    </xf>
    <xf numFmtId="9" fontId="56" fillId="0" borderId="232" xfId="1" applyFont="1" applyFill="1" applyBorder="1" applyAlignment="1">
      <alignment horizontal="center"/>
    </xf>
    <xf numFmtId="9" fontId="0" fillId="0" borderId="232" xfId="1" applyFont="1" applyFill="1" applyBorder="1" applyAlignment="1">
      <alignment horizontal="center"/>
    </xf>
    <xf numFmtId="9" fontId="0" fillId="0" borderId="233" xfId="1" applyFont="1" applyFill="1" applyBorder="1" applyAlignment="1">
      <alignment horizontal="center"/>
    </xf>
    <xf numFmtId="180" fontId="0" fillId="0" borderId="229" xfId="0" applyNumberFormat="1" applyBorder="1"/>
    <xf numFmtId="180" fontId="0" fillId="0" borderId="230" xfId="0" applyNumberFormat="1" applyBorder="1"/>
    <xf numFmtId="180" fontId="0" fillId="0" borderId="211" xfId="0" applyNumberFormat="1" applyBorder="1"/>
    <xf numFmtId="180" fontId="0" fillId="0" borderId="231" xfId="0" applyNumberFormat="1" applyBorder="1"/>
    <xf numFmtId="180" fontId="0" fillId="0" borderId="232" xfId="0" applyNumberFormat="1" applyBorder="1"/>
    <xf numFmtId="180" fontId="0" fillId="0" borderId="233" xfId="0" applyNumberFormat="1" applyBorder="1"/>
    <xf numFmtId="3" fontId="20" fillId="8" borderId="91" xfId="0" applyNumberFormat="1" applyFont="1" applyFill="1" applyBorder="1"/>
    <xf numFmtId="3" fontId="20" fillId="8" borderId="94" xfId="0" applyNumberFormat="1" applyFont="1" applyFill="1" applyBorder="1"/>
    <xf numFmtId="3" fontId="20" fillId="8" borderId="0" xfId="0" applyNumberFormat="1" applyFont="1" applyFill="1"/>
    <xf numFmtId="3" fontId="63" fillId="8" borderId="91" xfId="0" applyNumberFormat="1" applyFont="1" applyFill="1" applyBorder="1"/>
    <xf numFmtId="3" fontId="64" fillId="8" borderId="91" xfId="0" applyNumberFormat="1" applyFont="1" applyFill="1" applyBorder="1"/>
    <xf numFmtId="3" fontId="20" fillId="8" borderId="93" xfId="0" applyNumberFormat="1" applyFont="1" applyFill="1" applyBorder="1"/>
    <xf numFmtId="0" fontId="46" fillId="7" borderId="0" xfId="0" applyFont="1" applyFill="1" applyAlignment="1" applyProtection="1">
      <alignment horizontal="right" vertical="center"/>
      <protection locked="0"/>
    </xf>
    <xf numFmtId="3" fontId="48" fillId="0" borderId="202" xfId="0" applyNumberFormat="1" applyFont="1" applyBorder="1" applyAlignment="1">
      <alignment horizontal="center" wrapText="1"/>
    </xf>
    <xf numFmtId="3" fontId="20" fillId="7" borderId="0" xfId="0" applyNumberFormat="1" applyFont="1" applyFill="1"/>
    <xf numFmtId="3" fontId="20" fillId="7" borderId="84" xfId="0" applyNumberFormat="1" applyFont="1" applyFill="1" applyBorder="1"/>
    <xf numFmtId="3" fontId="48" fillId="7" borderId="0" xfId="0" applyNumberFormat="1" applyFont="1" applyFill="1" applyAlignment="1">
      <alignment vertical="center" wrapText="1"/>
    </xf>
    <xf numFmtId="0" fontId="48" fillId="7" borderId="85" xfId="0" applyFont="1" applyFill="1" applyBorder="1" applyProtection="1">
      <protection locked="0"/>
    </xf>
    <xf numFmtId="166" fontId="48" fillId="7" borderId="83" xfId="0" applyNumberFormat="1" applyFont="1" applyFill="1" applyBorder="1" applyAlignment="1">
      <alignment vertical="center" wrapText="1"/>
    </xf>
    <xf numFmtId="9" fontId="48" fillId="7" borderId="84" xfId="1" applyFont="1" applyFill="1" applyBorder="1" applyAlignment="1">
      <alignment vertical="center" wrapText="1"/>
    </xf>
    <xf numFmtId="166" fontId="48" fillId="7" borderId="85" xfId="0" applyNumberFormat="1" applyFont="1" applyFill="1" applyBorder="1" applyAlignment="1">
      <alignment vertical="center" wrapText="1"/>
    </xf>
    <xf numFmtId="0" fontId="48" fillId="7" borderId="85" xfId="0" applyFont="1" applyFill="1" applyBorder="1"/>
    <xf numFmtId="0" fontId="20" fillId="7" borderId="0" xfId="0" applyFont="1" applyFill="1" applyProtection="1">
      <protection locked="0"/>
    </xf>
    <xf numFmtId="0" fontId="20" fillId="7" borderId="105" xfId="0" applyFont="1" applyFill="1" applyBorder="1" applyProtection="1">
      <protection locked="0"/>
    </xf>
    <xf numFmtId="166" fontId="48" fillId="7" borderId="91" xfId="0" applyNumberFormat="1" applyFont="1" applyFill="1" applyBorder="1" applyAlignment="1">
      <alignment vertical="center" wrapText="1"/>
    </xf>
    <xf numFmtId="166" fontId="48" fillId="7" borderId="108" xfId="0" applyNumberFormat="1" applyFont="1" applyFill="1" applyBorder="1" applyAlignment="1">
      <alignment vertical="center" wrapText="1"/>
    </xf>
    <xf numFmtId="166" fontId="48" fillId="7" borderId="93" xfId="0" applyNumberFormat="1" applyFont="1" applyFill="1" applyBorder="1" applyAlignment="1">
      <alignment vertical="center" wrapText="1"/>
    </xf>
    <xf numFmtId="166" fontId="48" fillId="7" borderId="140" xfId="0" applyNumberFormat="1" applyFont="1" applyFill="1" applyBorder="1" applyAlignment="1">
      <alignment vertical="center" wrapText="1"/>
    </xf>
    <xf numFmtId="0" fontId="20" fillId="7" borderId="172" xfId="0" applyFont="1" applyFill="1" applyBorder="1" applyProtection="1">
      <protection locked="0"/>
    </xf>
    <xf numFmtId="166" fontId="48" fillId="7" borderId="186" xfId="0" applyNumberFormat="1" applyFont="1" applyFill="1" applyBorder="1" applyAlignment="1">
      <alignment vertical="center" wrapText="1"/>
    </xf>
    <xf numFmtId="9" fontId="48" fillId="7" borderId="198" xfId="1" applyFont="1" applyFill="1" applyBorder="1" applyAlignment="1">
      <alignment vertical="center" wrapText="1"/>
    </xf>
    <xf numFmtId="166" fontId="48" fillId="7" borderId="201" xfId="0" applyNumberFormat="1" applyFont="1" applyFill="1" applyBorder="1" applyAlignment="1">
      <alignment vertical="center" wrapText="1"/>
    </xf>
    <xf numFmtId="0" fontId="48" fillId="0" borderId="79" xfId="0" applyFont="1" applyBorder="1" applyAlignment="1">
      <alignment horizontal="right"/>
    </xf>
    <xf numFmtId="3" fontId="48" fillId="0" borderId="203" xfId="0" applyNumberFormat="1" applyFont="1" applyBorder="1" applyAlignment="1">
      <alignment vertical="center" wrapText="1"/>
    </xf>
    <xf numFmtId="0" fontId="20" fillId="0" borderId="79" xfId="0" applyFont="1" applyBorder="1"/>
    <xf numFmtId="165" fontId="49" fillId="0" borderId="87" xfId="0" applyNumberFormat="1" applyFont="1" applyBorder="1" applyAlignment="1">
      <alignment wrapText="1"/>
    </xf>
    <xf numFmtId="3" fontId="31" fillId="7" borderId="101" xfId="0" applyNumberFormat="1" applyFont="1" applyFill="1" applyBorder="1" applyProtection="1">
      <protection locked="0"/>
    </xf>
    <xf numFmtId="3" fontId="48" fillId="7" borderId="102" xfId="0" applyNumberFormat="1" applyFont="1" applyFill="1" applyBorder="1" applyProtection="1">
      <protection locked="0"/>
    </xf>
    <xf numFmtId="3" fontId="48" fillId="7" borderId="102" xfId="0" applyNumberFormat="1" applyFont="1" applyFill="1" applyBorder="1" applyAlignment="1" applyProtection="1">
      <alignment horizontal="center"/>
      <protection locked="0"/>
    </xf>
    <xf numFmtId="3" fontId="20" fillId="7" borderId="103" xfId="0" applyNumberFormat="1" applyFont="1" applyFill="1" applyBorder="1"/>
    <xf numFmtId="3" fontId="48" fillId="7" borderId="194" xfId="0" applyNumberFormat="1" applyFont="1" applyFill="1" applyBorder="1" applyProtection="1">
      <protection locked="0"/>
    </xf>
    <xf numFmtId="3" fontId="20" fillId="7" borderId="103" xfId="0" applyNumberFormat="1" applyFont="1" applyFill="1" applyBorder="1" applyAlignment="1">
      <alignment horizontal="center"/>
    </xf>
    <xf numFmtId="3" fontId="20" fillId="7" borderId="105" xfId="0" applyNumberFormat="1" applyFont="1" applyFill="1" applyBorder="1" applyAlignment="1">
      <alignment horizontal="center"/>
    </xf>
    <xf numFmtId="3" fontId="20" fillId="7" borderId="95" xfId="0" applyNumberFormat="1" applyFont="1" applyFill="1" applyBorder="1"/>
    <xf numFmtId="3" fontId="20" fillId="7" borderId="95" xfId="0" applyNumberFormat="1" applyFont="1" applyFill="1" applyBorder="1" applyAlignment="1">
      <alignment horizontal="right"/>
    </xf>
    <xf numFmtId="3" fontId="20" fillId="7" borderId="95" xfId="0" applyNumberFormat="1" applyFont="1" applyFill="1" applyBorder="1" applyAlignment="1">
      <alignment horizontal="center" wrapText="1"/>
    </xf>
    <xf numFmtId="3" fontId="20" fillId="7" borderId="95" xfId="0" applyNumberFormat="1" applyFont="1" applyFill="1" applyBorder="1" applyAlignment="1">
      <alignment horizontal="right" wrapText="1"/>
    </xf>
    <xf numFmtId="3" fontId="20" fillId="7" borderId="96" xfId="0" applyNumberFormat="1" applyFont="1" applyFill="1" applyBorder="1" applyAlignment="1">
      <alignment horizontal="right"/>
    </xf>
    <xf numFmtId="3" fontId="48" fillId="7" borderId="104" xfId="0" applyNumberFormat="1" applyFont="1" applyFill="1" applyBorder="1" applyAlignment="1">
      <alignment vertical="center" wrapText="1"/>
    </xf>
    <xf numFmtId="3" fontId="20" fillId="7" borderId="0" xfId="0" applyNumberFormat="1" applyFont="1" applyFill="1" applyAlignment="1">
      <alignment wrapText="1"/>
    </xf>
    <xf numFmtId="166" fontId="48" fillId="7" borderId="86" xfId="0" applyNumberFormat="1" applyFont="1" applyFill="1" applyBorder="1" applyAlignment="1">
      <alignment vertical="center"/>
    </xf>
    <xf numFmtId="166" fontId="48" fillId="7" borderId="86" xfId="1" applyNumberFormat="1" applyFont="1" applyFill="1" applyBorder="1" applyAlignment="1">
      <alignment horizontal="center" vertical="center"/>
    </xf>
    <xf numFmtId="166" fontId="48" fillId="7" borderId="86" xfId="0" applyNumberFormat="1" applyFont="1" applyFill="1" applyBorder="1" applyAlignment="1">
      <alignment horizontal="center" vertical="center"/>
    </xf>
    <xf numFmtId="166" fontId="48" fillId="7" borderId="127" xfId="0" applyNumberFormat="1" applyFont="1" applyFill="1" applyBorder="1" applyAlignment="1">
      <alignment horizontal="center" vertical="center"/>
    </xf>
    <xf numFmtId="166" fontId="48" fillId="7" borderId="135" xfId="0" applyNumberFormat="1" applyFont="1" applyFill="1" applyBorder="1" applyAlignment="1">
      <alignment vertical="center"/>
    </xf>
    <xf numFmtId="166" fontId="48" fillId="7" borderId="89" xfId="0" applyNumberFormat="1" applyFont="1" applyFill="1" applyBorder="1" applyAlignment="1">
      <alignment vertical="center"/>
    </xf>
    <xf numFmtId="166" fontId="48" fillId="7" borderId="89" xfId="1" applyNumberFormat="1" applyFont="1" applyFill="1" applyBorder="1" applyAlignment="1">
      <alignment horizontal="center" vertical="center"/>
    </xf>
    <xf numFmtId="166" fontId="48" fillId="7" borderId="89" xfId="0" applyNumberFormat="1" applyFont="1" applyFill="1" applyBorder="1" applyAlignment="1">
      <alignment horizontal="center" vertical="center"/>
    </xf>
    <xf numFmtId="166" fontId="48" fillId="7" borderId="185" xfId="0" applyNumberFormat="1" applyFont="1" applyFill="1" applyBorder="1" applyAlignment="1">
      <alignment horizontal="center" vertical="center"/>
    </xf>
    <xf numFmtId="166" fontId="48" fillId="7" borderId="128" xfId="0" applyNumberFormat="1" applyFont="1" applyFill="1" applyBorder="1" applyAlignment="1">
      <alignment vertical="center"/>
    </xf>
    <xf numFmtId="166" fontId="48" fillId="7" borderId="88" xfId="0" applyNumberFormat="1" applyFont="1" applyFill="1" applyBorder="1" applyAlignment="1">
      <alignment vertical="center"/>
    </xf>
    <xf numFmtId="3" fontId="48" fillId="7" borderId="87" xfId="0" applyNumberFormat="1" applyFont="1" applyFill="1" applyBorder="1" applyAlignment="1">
      <alignment vertical="center" wrapText="1"/>
    </xf>
    <xf numFmtId="3" fontId="48" fillId="7" borderId="107" xfId="0" applyNumberFormat="1" applyFont="1" applyFill="1" applyBorder="1" applyAlignment="1">
      <alignment vertical="center" wrapText="1"/>
    </xf>
    <xf numFmtId="166" fontId="48" fillId="7" borderId="0" xfId="0" applyNumberFormat="1" applyFont="1" applyFill="1" applyAlignment="1">
      <alignment vertical="center"/>
    </xf>
    <xf numFmtId="166" fontId="48" fillId="7" borderId="0" xfId="0" applyNumberFormat="1" applyFont="1" applyFill="1" applyAlignment="1">
      <alignment horizontal="center" vertical="center"/>
    </xf>
    <xf numFmtId="166" fontId="48" fillId="7" borderId="88" xfId="1" applyNumberFormat="1" applyFont="1" applyFill="1" applyBorder="1" applyAlignment="1">
      <alignment horizontal="center" vertical="center"/>
    </xf>
    <xf numFmtId="166" fontId="48" fillId="7" borderId="88" xfId="0" applyNumberFormat="1" applyFont="1" applyFill="1" applyBorder="1" applyAlignment="1">
      <alignment horizontal="center" vertical="center"/>
    </xf>
    <xf numFmtId="166" fontId="48" fillId="7" borderId="123" xfId="0" applyNumberFormat="1" applyFont="1" applyFill="1" applyBorder="1" applyAlignment="1">
      <alignment horizontal="center" vertical="center"/>
    </xf>
    <xf numFmtId="3" fontId="48" fillId="0" borderId="104" xfId="0" applyNumberFormat="1" applyFont="1" applyBorder="1" applyAlignment="1">
      <alignment horizontal="center"/>
    </xf>
    <xf numFmtId="0" fontId="48" fillId="0" borderId="195" xfId="0" applyFont="1" applyBorder="1" applyAlignment="1">
      <alignment horizontal="right" wrapText="1"/>
    </xf>
    <xf numFmtId="3" fontId="20" fillId="7" borderId="74" xfId="0" applyNumberFormat="1" applyFont="1" applyFill="1" applyBorder="1" applyAlignment="1">
      <alignment horizontal="right"/>
    </xf>
    <xf numFmtId="3" fontId="20" fillId="7" borderId="75" xfId="0" applyNumberFormat="1" applyFont="1" applyFill="1" applyBorder="1" applyAlignment="1">
      <alignment horizontal="right"/>
    </xf>
    <xf numFmtId="3" fontId="20" fillId="7" borderId="81" xfId="0" applyNumberFormat="1" applyFont="1" applyFill="1" applyBorder="1" applyAlignment="1">
      <alignment horizontal="right"/>
    </xf>
    <xf numFmtId="3" fontId="48" fillId="0" borderId="107" xfId="0" applyNumberFormat="1" applyFont="1" applyBorder="1" applyAlignment="1">
      <alignment horizontal="center"/>
    </xf>
    <xf numFmtId="3" fontId="48" fillId="0" borderId="74" xfId="0" applyNumberFormat="1" applyFont="1" applyBorder="1"/>
    <xf numFmtId="3" fontId="48" fillId="0" borderId="75" xfId="0" applyNumberFormat="1" applyFont="1" applyBorder="1"/>
    <xf numFmtId="3" fontId="48" fillId="0" borderId="75" xfId="0" applyNumberFormat="1" applyFont="1" applyBorder="1" applyAlignment="1">
      <alignment horizontal="right"/>
    </xf>
    <xf numFmtId="3" fontId="48" fillId="0" borderId="75" xfId="0" applyNumberFormat="1" applyFont="1" applyBorder="1" applyAlignment="1">
      <alignment horizontal="center"/>
    </xf>
    <xf numFmtId="170" fontId="48" fillId="0" borderId="81" xfId="0" applyNumberFormat="1" applyFont="1" applyBorder="1" applyAlignment="1">
      <alignment horizontal="center"/>
    </xf>
    <xf numFmtId="0" fontId="48" fillId="7" borderId="141" xfId="0" applyFont="1" applyFill="1" applyBorder="1" applyAlignment="1" applyProtection="1">
      <alignment horizontal="right"/>
      <protection locked="0"/>
    </xf>
    <xf numFmtId="0" fontId="48" fillId="7" borderId="194" xfId="0" applyFont="1" applyFill="1" applyBorder="1" applyAlignment="1" applyProtection="1">
      <alignment horizontal="right"/>
      <protection locked="0"/>
    </xf>
    <xf numFmtId="9" fontId="48" fillId="0" borderId="234" xfId="1" applyFont="1" applyFill="1" applyBorder="1" applyAlignment="1">
      <alignment wrapText="1"/>
    </xf>
    <xf numFmtId="3" fontId="48" fillId="0" borderId="83" xfId="0" applyNumberFormat="1" applyFont="1" applyBorder="1" applyAlignment="1">
      <alignment vertical="center" wrapText="1"/>
    </xf>
    <xf numFmtId="165" fontId="20" fillId="0" borderId="235" xfId="0" applyNumberFormat="1" applyFont="1" applyBorder="1" applyAlignment="1">
      <alignment wrapText="1"/>
    </xf>
    <xf numFmtId="165" fontId="20" fillId="0" borderId="83" xfId="0" applyNumberFormat="1" applyFont="1" applyBorder="1" applyAlignment="1">
      <alignment wrapText="1"/>
    </xf>
    <xf numFmtId="3" fontId="20" fillId="0" borderId="83" xfId="0" applyNumberFormat="1" applyFont="1" applyBorder="1" applyAlignment="1">
      <alignment wrapText="1"/>
    </xf>
    <xf numFmtId="166" fontId="20" fillId="0" borderId="159" xfId="0" applyNumberFormat="1" applyFont="1" applyBorder="1" applyAlignment="1">
      <alignment wrapText="1"/>
    </xf>
    <xf numFmtId="166" fontId="48" fillId="7" borderId="159" xfId="0" applyNumberFormat="1" applyFont="1" applyFill="1" applyBorder="1" applyAlignment="1">
      <alignment vertical="center" wrapText="1"/>
    </xf>
    <xf numFmtId="166" fontId="48" fillId="7" borderId="235" xfId="0" applyNumberFormat="1" applyFont="1" applyFill="1" applyBorder="1" applyAlignment="1">
      <alignment vertical="center" wrapText="1"/>
    </xf>
    <xf numFmtId="166" fontId="48" fillId="7" borderId="236" xfId="0" applyNumberFormat="1" applyFont="1" applyFill="1" applyBorder="1" applyAlignment="1">
      <alignment vertical="center" wrapText="1"/>
    </xf>
    <xf numFmtId="3" fontId="20" fillId="0" borderId="87" xfId="0" applyNumberFormat="1" applyFont="1" applyBorder="1" applyAlignment="1">
      <alignment wrapText="1"/>
    </xf>
    <xf numFmtId="0" fontId="20" fillId="0" borderId="83" xfId="0" applyFont="1" applyBorder="1" applyAlignment="1">
      <alignment wrapText="1"/>
    </xf>
    <xf numFmtId="166" fontId="54" fillId="0" borderId="83" xfId="0" applyNumberFormat="1" applyFont="1" applyBorder="1" applyProtection="1">
      <protection locked="0"/>
    </xf>
    <xf numFmtId="0" fontId="20" fillId="0" borderId="87" xfId="0" applyFont="1" applyBorder="1" applyAlignment="1">
      <alignment wrapText="1"/>
    </xf>
    <xf numFmtId="0" fontId="48" fillId="0" borderId="87" xfId="0" applyFont="1" applyBorder="1" applyAlignment="1">
      <alignment wrapText="1"/>
    </xf>
    <xf numFmtId="3" fontId="20" fillId="7" borderId="99" xfId="0" applyNumberFormat="1" applyFont="1" applyFill="1" applyBorder="1" applyAlignment="1">
      <alignment horizontal="right"/>
    </xf>
    <xf numFmtId="3" fontId="20" fillId="7" borderId="98" xfId="0" applyNumberFormat="1" applyFont="1" applyFill="1" applyBorder="1" applyAlignment="1">
      <alignment horizontal="right"/>
    </xf>
    <xf numFmtId="3" fontId="20" fillId="7" borderId="97" xfId="0" applyNumberFormat="1" applyFont="1" applyFill="1" applyBorder="1" applyAlignment="1">
      <alignment horizontal="right"/>
    </xf>
    <xf numFmtId="166" fontId="48" fillId="7" borderId="89" xfId="0" applyNumberFormat="1" applyFont="1" applyFill="1" applyBorder="1"/>
    <xf numFmtId="166" fontId="48" fillId="7" borderId="88" xfId="0" applyNumberFormat="1" applyFont="1" applyFill="1" applyBorder="1"/>
    <xf numFmtId="166" fontId="48" fillId="7" borderId="87" xfId="0" applyNumberFormat="1" applyFont="1" applyFill="1" applyBorder="1"/>
    <xf numFmtId="166" fontId="48" fillId="7" borderId="86" xfId="0" applyNumberFormat="1" applyFont="1" applyFill="1" applyBorder="1"/>
    <xf numFmtId="3" fontId="20" fillId="0" borderId="189" xfId="0" applyNumberFormat="1" applyFont="1" applyBorder="1"/>
    <xf numFmtId="0" fontId="47" fillId="0" borderId="226" xfId="0" applyFont="1" applyBorder="1" applyAlignment="1">
      <alignment horizontal="left"/>
    </xf>
    <xf numFmtId="0" fontId="48" fillId="0" borderId="226" xfId="0" applyFont="1" applyBorder="1"/>
    <xf numFmtId="0" fontId="20" fillId="0" borderId="189" xfId="0" applyFont="1" applyBorder="1"/>
    <xf numFmtId="3" fontId="46" fillId="6" borderId="99" xfId="0" applyNumberFormat="1" applyFont="1" applyFill="1" applyBorder="1"/>
    <xf numFmtId="3" fontId="20" fillId="0" borderId="110" xfId="0" applyNumberFormat="1" applyFont="1" applyBorder="1"/>
    <xf numFmtId="3" fontId="20" fillId="0" borderId="111" xfId="0" applyNumberFormat="1" applyFont="1" applyBorder="1"/>
    <xf numFmtId="3" fontId="20" fillId="0" borderId="120" xfId="0" applyNumberFormat="1" applyFont="1" applyBorder="1"/>
    <xf numFmtId="3" fontId="46" fillId="6" borderId="104" xfId="0" applyNumberFormat="1" applyFont="1" applyFill="1" applyBorder="1"/>
    <xf numFmtId="3" fontId="20" fillId="0" borderId="112" xfId="0" applyNumberFormat="1" applyFont="1" applyBorder="1"/>
    <xf numFmtId="3" fontId="20" fillId="0" borderId="234" xfId="0" applyNumberFormat="1" applyFont="1" applyBorder="1"/>
    <xf numFmtId="3" fontId="46" fillId="6" borderId="107" xfId="0" applyNumberFormat="1" applyFont="1" applyFill="1" applyBorder="1"/>
    <xf numFmtId="3" fontId="20" fillId="0" borderId="99" xfId="0" applyNumberFormat="1" applyFont="1" applyBorder="1"/>
    <xf numFmtId="3" fontId="20" fillId="0" borderId="110" xfId="0" applyNumberFormat="1" applyFont="1" applyBorder="1" applyAlignment="1">
      <alignment horizontal="left" indent="1"/>
    </xf>
    <xf numFmtId="3" fontId="20" fillId="0" borderId="111" xfId="0" applyNumberFormat="1" applyFont="1" applyBorder="1" applyAlignment="1">
      <alignment horizontal="left" indent="1"/>
    </xf>
    <xf numFmtId="3" fontId="20" fillId="0" borderId="112" xfId="0" applyNumberFormat="1" applyFont="1" applyBorder="1" applyAlignment="1">
      <alignment horizontal="left" indent="1"/>
    </xf>
    <xf numFmtId="3" fontId="53" fillId="0" borderId="204" xfId="0" applyNumberFormat="1" applyFont="1" applyBorder="1" applyAlignment="1">
      <alignment horizontal="center"/>
    </xf>
    <xf numFmtId="3" fontId="53" fillId="0" borderId="174" xfId="0" applyNumberFormat="1" applyFont="1" applyBorder="1" applyAlignment="1">
      <alignment horizontal="center"/>
    </xf>
    <xf numFmtId="3" fontId="20" fillId="0" borderId="238" xfId="0" applyNumberFormat="1" applyFont="1" applyBorder="1"/>
    <xf numFmtId="3" fontId="20" fillId="0" borderId="188" xfId="0" applyNumberFormat="1" applyFont="1" applyBorder="1"/>
    <xf numFmtId="3" fontId="53" fillId="0" borderId="188" xfId="0" applyNumberFormat="1" applyFont="1" applyBorder="1" applyAlignment="1">
      <alignment horizontal="center"/>
    </xf>
    <xf numFmtId="3" fontId="48" fillId="0" borderId="177" xfId="0" applyNumberFormat="1" applyFont="1" applyBorder="1"/>
    <xf numFmtId="3" fontId="48" fillId="0" borderId="175" xfId="0" applyNumberFormat="1" applyFont="1" applyBorder="1" applyAlignment="1">
      <alignment horizontal="right"/>
    </xf>
    <xf numFmtId="181" fontId="48" fillId="0" borderId="175" xfId="1927" applyNumberFormat="1" applyFont="1" applyFill="1" applyBorder="1" applyAlignment="1"/>
    <xf numFmtId="1" fontId="48" fillId="0" borderId="173" xfId="0" applyNumberFormat="1" applyFont="1" applyBorder="1"/>
    <xf numFmtId="170" fontId="48" fillId="0" borderId="189" xfId="0" applyNumberFormat="1" applyFont="1" applyBorder="1" applyAlignment="1">
      <alignment horizontal="left"/>
    </xf>
    <xf numFmtId="0" fontId="48" fillId="0" borderId="239" xfId="0" applyFont="1" applyBorder="1" applyProtection="1">
      <protection locked="0"/>
    </xf>
    <xf numFmtId="3" fontId="20" fillId="7" borderId="240" xfId="0" applyNumberFormat="1" applyFont="1" applyFill="1" applyBorder="1" applyAlignment="1">
      <alignment horizontal="right"/>
    </xf>
    <xf numFmtId="166" fontId="20" fillId="8" borderId="241" xfId="0" applyNumberFormat="1" applyFont="1" applyFill="1" applyBorder="1"/>
    <xf numFmtId="3" fontId="20" fillId="8" borderId="241" xfId="0" applyNumberFormat="1" applyFont="1" applyFill="1" applyBorder="1"/>
    <xf numFmtId="166" fontId="20" fillId="0" borderId="100" xfId="0" applyNumberFormat="1" applyFont="1" applyBorder="1"/>
    <xf numFmtId="166" fontId="20" fillId="0" borderId="241" xfId="0" applyNumberFormat="1" applyFont="1" applyBorder="1"/>
    <xf numFmtId="3" fontId="20" fillId="8" borderId="242" xfId="0" applyNumberFormat="1" applyFont="1" applyFill="1" applyBorder="1"/>
    <xf numFmtId="166" fontId="48" fillId="7" borderId="243" xfId="0" applyNumberFormat="1" applyFont="1" applyFill="1" applyBorder="1"/>
    <xf numFmtId="166" fontId="48" fillId="7" borderId="100" xfId="0" applyNumberFormat="1" applyFont="1" applyFill="1" applyBorder="1"/>
    <xf numFmtId="3" fontId="20" fillId="0" borderId="240" xfId="0" applyNumberFormat="1" applyFont="1" applyBorder="1"/>
    <xf numFmtId="166" fontId="48" fillId="7" borderId="106" xfId="0" applyNumberFormat="1" applyFont="1" applyFill="1" applyBorder="1"/>
    <xf numFmtId="3" fontId="20" fillId="0" borderId="237" xfId="0" applyNumberFormat="1" applyFont="1" applyBorder="1"/>
    <xf numFmtId="3" fontId="20" fillId="0" borderId="242" xfId="0" applyNumberFormat="1" applyFont="1" applyBorder="1"/>
    <xf numFmtId="166" fontId="48" fillId="7" borderId="170" xfId="0" applyNumberFormat="1" applyFont="1" applyFill="1" applyBorder="1"/>
    <xf numFmtId="166" fontId="20" fillId="0" borderId="75" xfId="0" applyNumberFormat="1" applyFont="1" applyBorder="1"/>
    <xf numFmtId="3" fontId="20" fillId="0" borderId="172" xfId="0" applyNumberFormat="1" applyFont="1" applyBorder="1"/>
    <xf numFmtId="3" fontId="20" fillId="0" borderId="75" xfId="0" applyNumberFormat="1" applyFont="1" applyBorder="1"/>
    <xf numFmtId="166" fontId="20" fillId="0" borderId="81" xfId="0" applyNumberFormat="1" applyFont="1" applyBorder="1"/>
    <xf numFmtId="0" fontId="39" fillId="7" borderId="101" xfId="0" applyFont="1" applyFill="1" applyBorder="1"/>
    <xf numFmtId="0" fontId="39" fillId="7" borderId="102" xfId="0" applyFont="1" applyFill="1" applyBorder="1"/>
    <xf numFmtId="0" fontId="39" fillId="7" borderId="103" xfId="0" applyFont="1" applyFill="1" applyBorder="1"/>
    <xf numFmtId="0" fontId="40" fillId="8" borderId="101" xfId="0" applyFont="1" applyFill="1" applyBorder="1" applyAlignment="1">
      <alignment horizontal="left"/>
    </xf>
    <xf numFmtId="0" fontId="40" fillId="8" borderId="86" xfId="0" applyFont="1" applyFill="1" applyBorder="1" applyAlignment="1">
      <alignment horizontal="left"/>
    </xf>
    <xf numFmtId="0" fontId="40" fillId="8" borderId="99" xfId="0" applyFont="1" applyFill="1" applyBorder="1" applyAlignment="1">
      <alignment horizontal="center"/>
    </xf>
    <xf numFmtId="171" fontId="40" fillId="8" borderId="101" xfId="1" applyNumberFormat="1" applyFont="1" applyFill="1" applyBorder="1" applyAlignment="1">
      <alignment horizontal="center"/>
    </xf>
    <xf numFmtId="9" fontId="40" fillId="8" borderId="89" xfId="1" applyFont="1" applyFill="1" applyBorder="1" applyAlignment="1">
      <alignment horizontal="center"/>
    </xf>
    <xf numFmtId="9" fontId="40" fillId="8" borderId="86" xfId="1" applyFont="1" applyFill="1" applyBorder="1" applyAlignment="1">
      <alignment horizontal="center"/>
    </xf>
    <xf numFmtId="10" fontId="40" fillId="8" borderId="86" xfId="1" applyNumberFormat="1" applyFont="1" applyFill="1" applyBorder="1" applyAlignment="1">
      <alignment horizontal="center"/>
    </xf>
    <xf numFmtId="175" fontId="40" fillId="8" borderId="86" xfId="1" applyNumberFormat="1" applyFont="1" applyFill="1" applyBorder="1" applyAlignment="1">
      <alignment horizontal="center"/>
    </xf>
    <xf numFmtId="10" fontId="40" fillId="8" borderId="88" xfId="1" applyNumberFormat="1" applyFont="1" applyFill="1" applyBorder="1" applyAlignment="1">
      <alignment horizontal="center"/>
    </xf>
    <xf numFmtId="180" fontId="40" fillId="8" borderId="87" xfId="2" applyNumberFormat="1" applyFont="1" applyFill="1" applyBorder="1" applyAlignment="1">
      <alignment horizontal="right"/>
    </xf>
    <xf numFmtId="171" fontId="40" fillId="8" borderId="88" xfId="1" applyNumberFormat="1" applyFont="1" applyFill="1" applyBorder="1" applyAlignment="1">
      <alignment horizontal="center"/>
    </xf>
    <xf numFmtId="174" fontId="40" fillId="8" borderId="88" xfId="1" applyNumberFormat="1" applyFont="1" applyFill="1" applyBorder="1"/>
    <xf numFmtId="9" fontId="40" fillId="8" borderId="107" xfId="1" applyFont="1" applyFill="1" applyBorder="1"/>
    <xf numFmtId="9" fontId="40" fillId="8" borderId="194" xfId="0" applyNumberFormat="1" applyFont="1" applyFill="1" applyBorder="1"/>
    <xf numFmtId="0" fontId="40" fillId="0" borderId="98" xfId="0" applyFont="1" applyBorder="1" applyAlignment="1">
      <alignment horizontal="right"/>
    </xf>
    <xf numFmtId="9" fontId="40" fillId="8" borderId="98" xfId="0" applyNumberFormat="1" applyFont="1" applyFill="1" applyBorder="1" applyAlignment="1">
      <alignment horizontal="center"/>
    </xf>
    <xf numFmtId="0" fontId="40" fillId="0" borderId="97" xfId="0" applyFont="1" applyBorder="1" applyAlignment="1">
      <alignment horizontal="right"/>
    </xf>
    <xf numFmtId="0" fontId="72" fillId="0" borderId="0" xfId="0" applyFont="1"/>
    <xf numFmtId="0" fontId="40" fillId="7" borderId="0" xfId="0" applyFont="1" applyFill="1"/>
    <xf numFmtId="2" fontId="20" fillId="0" borderId="0" xfId="0" applyNumberFormat="1" applyFont="1"/>
    <xf numFmtId="166" fontId="20" fillId="0" borderId="244" xfId="0" applyNumberFormat="1" applyFont="1" applyBorder="1"/>
    <xf numFmtId="0" fontId="19" fillId="0" borderId="246" xfId="0" applyFont="1" applyBorder="1"/>
    <xf numFmtId="0" fontId="19" fillId="0" borderId="229" xfId="0" applyFont="1" applyBorder="1" applyAlignment="1">
      <alignment horizontal="center"/>
    </xf>
    <xf numFmtId="166" fontId="19" fillId="0" borderId="229" xfId="0" applyNumberFormat="1" applyFont="1" applyBorder="1"/>
    <xf numFmtId="0" fontId="19" fillId="0" borderId="247" xfId="0" applyFont="1" applyBorder="1"/>
    <xf numFmtId="0" fontId="19" fillId="0" borderId="211" xfId="0" applyFont="1" applyBorder="1" applyAlignment="1">
      <alignment horizontal="center"/>
    </xf>
    <xf numFmtId="166" fontId="19" fillId="0" borderId="211" xfId="0" applyNumberFormat="1" applyFont="1" applyBorder="1"/>
    <xf numFmtId="166" fontId="19" fillId="0" borderId="231" xfId="0" applyNumberFormat="1" applyFont="1" applyBorder="1"/>
    <xf numFmtId="9" fontId="19" fillId="0" borderId="211" xfId="0" applyNumberFormat="1" applyFont="1" applyBorder="1" applyAlignment="1">
      <alignment horizontal="center"/>
    </xf>
    <xf numFmtId="165" fontId="19" fillId="0" borderId="211" xfId="0" applyNumberFormat="1" applyFont="1" applyBorder="1"/>
    <xf numFmtId="165" fontId="19" fillId="0" borderId="231" xfId="0" applyNumberFormat="1" applyFont="1" applyBorder="1"/>
    <xf numFmtId="0" fontId="19" fillId="0" borderId="248" xfId="0" applyFont="1" applyBorder="1"/>
    <xf numFmtId="0" fontId="19" fillId="0" borderId="232" xfId="0" applyFont="1" applyBorder="1" applyAlignment="1">
      <alignment horizontal="center"/>
    </xf>
    <xf numFmtId="165" fontId="19" fillId="0" borderId="232" xfId="0" applyNumberFormat="1" applyFont="1" applyBorder="1"/>
    <xf numFmtId="165" fontId="19" fillId="0" borderId="233" xfId="0" applyNumberFormat="1" applyFont="1" applyBorder="1"/>
    <xf numFmtId="0" fontId="19" fillId="0" borderId="249" xfId="0" applyFont="1" applyBorder="1" applyAlignment="1">
      <alignment horizontal="center"/>
    </xf>
    <xf numFmtId="0" fontId="19" fillId="0" borderId="217" xfId="0" applyFont="1" applyBorder="1" applyAlignment="1">
      <alignment horizontal="center"/>
    </xf>
    <xf numFmtId="0" fontId="19" fillId="0" borderId="250" xfId="0" applyFont="1" applyBorder="1" applyAlignment="1">
      <alignment horizontal="center"/>
    </xf>
    <xf numFmtId="166" fontId="20" fillId="8" borderId="88" xfId="0" applyNumberFormat="1" applyFont="1" applyFill="1" applyBorder="1"/>
    <xf numFmtId="0" fontId="22" fillId="0" borderId="105" xfId="0" applyFont="1" applyBorder="1" applyAlignment="1">
      <alignment horizontal="center" wrapText="1"/>
    </xf>
    <xf numFmtId="0" fontId="19" fillId="7" borderId="0" xfId="0" applyFont="1" applyFill="1" applyAlignment="1">
      <alignment vertical="center"/>
    </xf>
    <xf numFmtId="0" fontId="19" fillId="7" borderId="76" xfId="0" applyFont="1" applyFill="1" applyBorder="1"/>
    <xf numFmtId="0" fontId="22" fillId="7" borderId="77" xfId="0" applyFont="1" applyFill="1" applyBorder="1"/>
    <xf numFmtId="0" fontId="19" fillId="7" borderId="77" xfId="0" applyFont="1" applyFill="1" applyBorder="1"/>
    <xf numFmtId="0" fontId="29" fillId="7" borderId="77" xfId="0" applyFont="1" applyFill="1" applyBorder="1" applyAlignment="1">
      <alignment horizontal="center"/>
    </xf>
    <xf numFmtId="0" fontId="19" fillId="7" borderId="77" xfId="0" applyFont="1" applyFill="1" applyBorder="1" applyAlignment="1">
      <alignment horizontal="center"/>
    </xf>
    <xf numFmtId="0" fontId="19" fillId="7" borderId="174" xfId="0" applyFont="1" applyFill="1" applyBorder="1"/>
    <xf numFmtId="9" fontId="19" fillId="0" borderId="87" xfId="1" applyFont="1" applyFill="1" applyBorder="1" applyAlignment="1">
      <alignment horizontal="center"/>
    </xf>
    <xf numFmtId="9" fontId="19" fillId="0" borderId="17" xfId="1" applyFont="1" applyFill="1" applyBorder="1" applyAlignment="1">
      <alignment horizontal="center"/>
    </xf>
    <xf numFmtId="0" fontId="19" fillId="0" borderId="104" xfId="0" applyFont="1" applyBorder="1" applyAlignment="1">
      <alignment horizontal="center"/>
    </xf>
    <xf numFmtId="0" fontId="19" fillId="8" borderId="144" xfId="0" applyFont="1" applyFill="1" applyBorder="1" applyAlignment="1">
      <alignment horizontal="center" vertical="center"/>
    </xf>
    <xf numFmtId="166" fontId="19" fillId="8" borderId="150" xfId="0" applyNumberFormat="1" applyFont="1" applyFill="1" applyBorder="1" applyAlignment="1">
      <alignment horizontal="right"/>
    </xf>
    <xf numFmtId="166" fontId="19" fillId="8" borderId="119" xfId="0" applyNumberFormat="1" applyFont="1" applyFill="1" applyBorder="1" applyAlignment="1">
      <alignment horizontal="right"/>
    </xf>
    <xf numFmtId="0" fontId="31" fillId="7" borderId="89" xfId="0" applyFont="1" applyFill="1" applyBorder="1" applyAlignment="1">
      <alignment horizontal="left"/>
    </xf>
    <xf numFmtId="0" fontId="22" fillId="7" borderId="143" xfId="0" applyFont="1" applyFill="1" applyBorder="1" applyAlignment="1">
      <alignment horizontal="right" wrapText="1"/>
    </xf>
    <xf numFmtId="0" fontId="22" fillId="7" borderId="153" xfId="0" applyFont="1" applyFill="1" applyBorder="1" applyAlignment="1">
      <alignment horizontal="right" wrapText="1"/>
    </xf>
    <xf numFmtId="0" fontId="22" fillId="7" borderId="149" xfId="0" applyFont="1" applyFill="1" applyBorder="1" applyAlignment="1">
      <alignment horizontal="right" wrapText="1"/>
    </xf>
    <xf numFmtId="0" fontId="22" fillId="7" borderId="195" xfId="0" applyFont="1" applyFill="1" applyBorder="1" applyAlignment="1">
      <alignment horizontal="right" wrapText="1"/>
    </xf>
    <xf numFmtId="0" fontId="22" fillId="7" borderId="206" xfId="0" applyFont="1" applyFill="1" applyBorder="1" applyAlignment="1">
      <alignment horizontal="right" wrapText="1"/>
    </xf>
    <xf numFmtId="0" fontId="22" fillId="7" borderId="207" xfId="0" applyFont="1" applyFill="1" applyBorder="1" applyAlignment="1">
      <alignment horizontal="right" wrapText="1"/>
    </xf>
    <xf numFmtId="0" fontId="22" fillId="7" borderId="208" xfId="0" applyFont="1" applyFill="1" applyBorder="1" applyAlignment="1">
      <alignment horizontal="right" wrapText="1"/>
    </xf>
    <xf numFmtId="0" fontId="22" fillId="7" borderId="86" xfId="0" applyFont="1" applyFill="1" applyBorder="1" applyAlignment="1">
      <alignment horizontal="right"/>
    </xf>
    <xf numFmtId="3" fontId="19" fillId="7" borderId="86" xfId="0" applyNumberFormat="1" applyFont="1" applyFill="1" applyBorder="1" applyAlignment="1">
      <alignment horizontal="right"/>
    </xf>
    <xf numFmtId="0" fontId="19" fillId="0" borderId="17" xfId="0" applyFont="1" applyBorder="1"/>
    <xf numFmtId="0" fontId="22" fillId="7" borderId="252" xfId="0" applyFont="1" applyFill="1" applyBorder="1" applyAlignment="1">
      <alignment horizontal="right" wrapText="1"/>
    </xf>
    <xf numFmtId="0" fontId="22" fillId="7" borderId="197" xfId="0" applyFont="1" applyFill="1" applyBorder="1" applyAlignment="1">
      <alignment horizontal="right" wrapText="1"/>
    </xf>
    <xf numFmtId="0" fontId="22" fillId="7" borderId="171" xfId="0" applyFont="1" applyFill="1" applyBorder="1" applyAlignment="1">
      <alignment horizontal="right" wrapText="1"/>
    </xf>
    <xf numFmtId="166" fontId="19" fillId="7" borderId="86" xfId="0" applyNumberFormat="1" applyFont="1" applyFill="1" applyBorder="1" applyAlignment="1">
      <alignment horizontal="right"/>
    </xf>
    <xf numFmtId="0" fontId="19" fillId="0" borderId="105" xfId="0" applyFont="1" applyBorder="1"/>
    <xf numFmtId="0" fontId="19" fillId="0" borderId="95" xfId="0" applyFont="1" applyBorder="1"/>
    <xf numFmtId="3" fontId="19" fillId="0" borderId="95" xfId="0" applyNumberFormat="1" applyFont="1" applyBorder="1" applyAlignment="1">
      <alignment horizontal="right"/>
    </xf>
    <xf numFmtId="0" fontId="30" fillId="3" borderId="174" xfId="0" applyFont="1" applyFill="1" applyBorder="1" applyAlignment="1">
      <alignment horizontal="center"/>
    </xf>
    <xf numFmtId="0" fontId="22" fillId="0" borderId="174" xfId="0" applyFont="1" applyBorder="1"/>
    <xf numFmtId="0" fontId="30" fillId="3" borderId="188" xfId="0" applyFont="1" applyFill="1" applyBorder="1" applyAlignment="1">
      <alignment horizontal="center"/>
    </xf>
    <xf numFmtId="0" fontId="19" fillId="0" borderId="245" xfId="0" applyFont="1" applyBorder="1"/>
    <xf numFmtId="0" fontId="19" fillId="0" borderId="177" xfId="0" applyFont="1" applyBorder="1"/>
    <xf numFmtId="0" fontId="22" fillId="0" borderId="175" xfId="0" applyFont="1" applyBorder="1" applyAlignment="1">
      <alignment horizontal="center"/>
    </xf>
    <xf numFmtId="176" fontId="22" fillId="0" borderId="173" xfId="0" applyNumberFormat="1" applyFont="1" applyBorder="1" applyAlignment="1">
      <alignment horizontal="center"/>
    </xf>
    <xf numFmtId="0" fontId="21" fillId="0" borderId="189" xfId="0" applyFont="1" applyBorder="1"/>
    <xf numFmtId="0" fontId="31" fillId="0" borderId="189" xfId="0" applyFont="1" applyBorder="1"/>
    <xf numFmtId="0" fontId="19" fillId="0" borderId="254" xfId="0" applyFont="1" applyBorder="1"/>
    <xf numFmtId="0" fontId="22" fillId="0" borderId="17" xfId="0" applyFont="1" applyBorder="1"/>
    <xf numFmtId="3" fontId="19" fillId="7" borderId="170" xfId="0" applyNumberFormat="1" applyFont="1" applyFill="1" applyBorder="1" applyAlignment="1">
      <alignment horizontal="right"/>
    </xf>
    <xf numFmtId="0" fontId="22" fillId="0" borderId="245" xfId="0" applyFont="1" applyBorder="1"/>
    <xf numFmtId="0" fontId="22" fillId="0" borderId="189" xfId="0" applyFont="1" applyBorder="1"/>
    <xf numFmtId="0" fontId="33" fillId="0" borderId="189" xfId="0" applyFont="1" applyBorder="1"/>
    <xf numFmtId="0" fontId="22" fillId="0" borderId="18" xfId="0" applyFont="1" applyBorder="1" applyAlignment="1">
      <alignment horizontal="right"/>
    </xf>
    <xf numFmtId="0" fontId="19" fillId="0" borderId="74" xfId="0" applyFont="1" applyBorder="1"/>
    <xf numFmtId="0" fontId="19" fillId="0" borderId="75" xfId="0" applyFont="1" applyBorder="1"/>
    <xf numFmtId="0" fontId="19" fillId="0" borderId="255" xfId="0" applyFont="1" applyBorder="1"/>
    <xf numFmtId="3" fontId="19" fillId="0" borderId="256" xfId="0" applyNumberFormat="1" applyFont="1" applyBorder="1" applyAlignment="1">
      <alignment horizontal="right"/>
    </xf>
    <xf numFmtId="0" fontId="19" fillId="0" borderId="106" xfId="0" applyFont="1" applyBorder="1"/>
    <xf numFmtId="0" fontId="73" fillId="7" borderId="5" xfId="0" applyFont="1" applyFill="1" applyBorder="1" applyAlignment="1">
      <alignment horizontal="left"/>
    </xf>
    <xf numFmtId="0" fontId="19" fillId="7" borderId="6" xfId="0" applyFont="1" applyFill="1" applyBorder="1" applyAlignment="1">
      <alignment horizontal="center"/>
    </xf>
    <xf numFmtId="0" fontId="19" fillId="7" borderId="6" xfId="0" applyFont="1" applyFill="1" applyBorder="1"/>
    <xf numFmtId="0" fontId="19" fillId="7" borderId="7" xfId="0" applyFont="1" applyFill="1" applyBorder="1"/>
    <xf numFmtId="0" fontId="22" fillId="7" borderId="148" xfId="0" applyFont="1" applyFill="1" applyBorder="1" applyAlignment="1">
      <alignment horizontal="left" vertical="top"/>
    </xf>
    <xf numFmtId="0" fontId="19" fillId="7" borderId="163" xfId="0" applyFont="1" applyFill="1" applyBorder="1" applyAlignment="1">
      <alignment horizontal="left" vertical="top" wrapText="1"/>
    </xf>
    <xf numFmtId="49" fontId="19" fillId="0" borderId="72" xfId="0" applyNumberFormat="1" applyFont="1" applyBorder="1" applyAlignment="1">
      <alignment vertical="top"/>
    </xf>
    <xf numFmtId="172" fontId="19" fillId="7" borderId="145" xfId="0" applyNumberFormat="1" applyFont="1" applyFill="1" applyBorder="1" applyAlignment="1" applyProtection="1">
      <alignment horizontal="center" vertical="top"/>
      <protection locked="0"/>
    </xf>
    <xf numFmtId="172" fontId="19" fillId="7" borderId="145" xfId="0" applyNumberFormat="1" applyFont="1" applyFill="1" applyBorder="1" applyAlignment="1" applyProtection="1">
      <alignment horizontal="right" vertical="top"/>
      <protection locked="0"/>
    </xf>
    <xf numFmtId="173" fontId="22" fillId="7" borderId="145" xfId="0" applyNumberFormat="1" applyFont="1" applyFill="1" applyBorder="1" applyAlignment="1">
      <alignment horizontal="left" vertical="center" wrapText="1"/>
    </xf>
    <xf numFmtId="173" fontId="22" fillId="7" borderId="145" xfId="0" applyNumberFormat="1" applyFont="1" applyFill="1" applyBorder="1" applyAlignment="1">
      <alignment horizontal="right" wrapText="1"/>
    </xf>
    <xf numFmtId="0" fontId="22" fillId="7" borderId="147" xfId="0" applyFont="1" applyFill="1" applyBorder="1" applyAlignment="1">
      <alignment horizontal="left" vertical="top"/>
    </xf>
    <xf numFmtId="49" fontId="19" fillId="7" borderId="259" xfId="0" applyNumberFormat="1" applyFont="1" applyFill="1" applyBorder="1" applyAlignment="1">
      <alignment vertical="top"/>
    </xf>
    <xf numFmtId="0" fontId="19" fillId="7" borderId="191" xfId="0" applyFont="1" applyFill="1" applyBorder="1" applyAlignment="1">
      <alignment horizontal="left" vertical="top"/>
    </xf>
    <xf numFmtId="0" fontId="19" fillId="7" borderId="192" xfId="0" applyFont="1" applyFill="1" applyBorder="1" applyAlignment="1">
      <alignment horizontal="left" vertical="top" wrapText="1"/>
    </xf>
    <xf numFmtId="0" fontId="38" fillId="7" borderId="86" xfId="0" applyFont="1" applyFill="1" applyBorder="1" applyProtection="1">
      <protection locked="0"/>
    </xf>
    <xf numFmtId="166" fontId="38" fillId="7" borderId="99" xfId="0" applyNumberFormat="1" applyFont="1" applyFill="1" applyBorder="1"/>
    <xf numFmtId="166" fontId="38" fillId="7" borderId="98" xfId="0" applyNumberFormat="1" applyFont="1" applyFill="1" applyBorder="1"/>
    <xf numFmtId="166" fontId="38" fillId="7" borderId="97" xfId="0" applyNumberFormat="1" applyFont="1" applyFill="1" applyBorder="1"/>
    <xf numFmtId="0" fontId="38" fillId="7" borderId="118" xfId="0" applyFont="1" applyFill="1" applyBorder="1" applyAlignment="1">
      <alignment horizontal="right" wrapText="1"/>
    </xf>
    <xf numFmtId="0" fontId="38" fillId="7" borderId="161" xfId="0" applyFont="1" applyFill="1" applyBorder="1" applyAlignment="1">
      <alignment horizontal="right" wrapText="1"/>
    </xf>
    <xf numFmtId="0" fontId="38" fillId="7" borderId="115" xfId="0" applyFont="1" applyFill="1" applyBorder="1" applyAlignment="1">
      <alignment horizontal="right" wrapText="1"/>
    </xf>
    <xf numFmtId="0" fontId="19" fillId="7" borderId="0" xfId="0" applyFont="1" applyFill="1"/>
    <xf numFmtId="0" fontId="55" fillId="7" borderId="0" xfId="1925" applyFont="1" applyFill="1" applyAlignment="1">
      <alignment horizontal="center"/>
    </xf>
    <xf numFmtId="0" fontId="62" fillId="0" borderId="0" xfId="0" applyFont="1" applyAlignment="1">
      <alignment vertical="top"/>
    </xf>
    <xf numFmtId="0" fontId="74" fillId="0" borderId="0" xfId="0" applyFont="1"/>
    <xf numFmtId="0" fontId="19" fillId="8" borderId="94" xfId="0" applyFont="1" applyFill="1" applyBorder="1"/>
    <xf numFmtId="0" fontId="19" fillId="8" borderId="91" xfId="0" applyFont="1" applyFill="1" applyBorder="1"/>
    <xf numFmtId="0" fontId="32" fillId="8" borderId="93" xfId="0" applyFont="1" applyFill="1" applyBorder="1"/>
    <xf numFmtId="3" fontId="19" fillId="8" borderId="94" xfId="0" applyNumberFormat="1" applyFont="1" applyFill="1" applyBorder="1" applyAlignment="1">
      <alignment horizontal="right"/>
    </xf>
    <xf numFmtId="166" fontId="19" fillId="8" borderId="91" xfId="0" applyNumberFormat="1" applyFont="1" applyFill="1" applyBorder="1" applyAlignment="1">
      <alignment horizontal="right"/>
    </xf>
    <xf numFmtId="0" fontId="19" fillId="8" borderId="93" xfId="0" applyFont="1" applyFill="1" applyBorder="1"/>
    <xf numFmtId="49" fontId="19" fillId="8" borderId="164" xfId="0" applyNumberFormat="1" applyFont="1" applyFill="1" applyBorder="1" applyAlignment="1">
      <alignment vertical="top"/>
    </xf>
    <xf numFmtId="49" fontId="19" fillId="8" borderId="166" xfId="0" applyNumberFormat="1" applyFont="1" applyFill="1" applyBorder="1" applyAlignment="1">
      <alignment vertical="top"/>
    </xf>
    <xf numFmtId="49" fontId="19" fillId="8" borderId="257" xfId="0" applyNumberFormat="1" applyFont="1" applyFill="1" applyBorder="1" applyAlignment="1">
      <alignment vertical="top"/>
    </xf>
    <xf numFmtId="172" fontId="19" fillId="8" borderId="119" xfId="0" applyNumberFormat="1" applyFont="1" applyFill="1" applyBorder="1" applyAlignment="1" applyProtection="1">
      <alignment horizontal="center" vertical="top"/>
      <protection locked="0"/>
    </xf>
    <xf numFmtId="172" fontId="19" fillId="8" borderId="91" xfId="0" applyNumberFormat="1" applyFont="1" applyFill="1" applyBorder="1" applyAlignment="1" applyProtection="1">
      <alignment horizontal="center" vertical="top"/>
      <protection locked="0"/>
    </xf>
    <xf numFmtId="172" fontId="19" fillId="8" borderId="152" xfId="0" applyNumberFormat="1" applyFont="1" applyFill="1" applyBorder="1" applyAlignment="1" applyProtection="1">
      <alignment horizontal="center" vertical="top"/>
      <protection locked="0"/>
    </xf>
    <xf numFmtId="172" fontId="19" fillId="8" borderId="260" xfId="0" applyNumberFormat="1" applyFont="1" applyFill="1" applyBorder="1" applyAlignment="1" applyProtection="1">
      <alignment horizontal="center" vertical="top"/>
      <protection locked="0"/>
    </xf>
    <xf numFmtId="172" fontId="19" fillId="0" borderId="260" xfId="0" applyNumberFormat="1" applyFont="1" applyBorder="1" applyAlignment="1" applyProtection="1">
      <alignment horizontal="right" vertical="top"/>
      <protection locked="0"/>
    </xf>
    <xf numFmtId="172" fontId="19" fillId="8" borderId="90" xfId="0" applyNumberFormat="1" applyFont="1" applyFill="1" applyBorder="1" applyAlignment="1" applyProtection="1">
      <alignment horizontal="center" vertical="top"/>
      <protection locked="0"/>
    </xf>
    <xf numFmtId="166" fontId="36" fillId="8" borderId="119" xfId="0" applyNumberFormat="1" applyFont="1" applyFill="1" applyBorder="1"/>
    <xf numFmtId="166" fontId="36" fillId="8" borderId="91" xfId="0" applyNumberFormat="1" applyFont="1" applyFill="1" applyBorder="1"/>
    <xf numFmtId="166" fontId="36" fillId="8" borderId="111" xfId="0" applyNumberFormat="1" applyFont="1" applyFill="1" applyBorder="1"/>
    <xf numFmtId="9" fontId="36" fillId="8" borderId="91" xfId="1" applyFont="1" applyFill="1" applyBorder="1"/>
    <xf numFmtId="9" fontId="36" fillId="8" borderId="111" xfId="1" applyFont="1" applyFill="1" applyBorder="1"/>
    <xf numFmtId="177" fontId="40" fillId="8" borderId="170" xfId="2" applyNumberFormat="1" applyFont="1" applyFill="1" applyBorder="1"/>
    <xf numFmtId="0" fontId="40" fillId="8" borderId="101" xfId="0" applyFont="1" applyFill="1" applyBorder="1"/>
    <xf numFmtId="0" fontId="19" fillId="8" borderId="116" xfId="1924" applyFont="1" applyFill="1" applyBorder="1"/>
    <xf numFmtId="0" fontId="19" fillId="8" borderId="117" xfId="1924" applyFont="1" applyFill="1" applyBorder="1"/>
    <xf numFmtId="0" fontId="19" fillId="8" borderId="111" xfId="1924" applyFont="1" applyFill="1" applyBorder="1"/>
    <xf numFmtId="0" fontId="19" fillId="8" borderId="108" xfId="1924" applyFont="1" applyFill="1" applyBorder="1"/>
    <xf numFmtId="0" fontId="19" fillId="8" borderId="120" xfId="1924" applyFont="1" applyFill="1" applyBorder="1"/>
    <xf numFmtId="0" fontId="19" fillId="8" borderId="121" xfId="1924" applyFont="1" applyFill="1" applyBorder="1"/>
    <xf numFmtId="2" fontId="19" fillId="8" borderId="119" xfId="1924" applyNumberFormat="1" applyFont="1" applyFill="1" applyBorder="1"/>
    <xf numFmtId="2" fontId="19" fillId="8" borderId="91" xfId="1924" applyNumberFormat="1" applyFont="1" applyFill="1" applyBorder="1"/>
    <xf numFmtId="2" fontId="19" fillId="8" borderId="92" xfId="1924" applyNumberFormat="1" applyFont="1" applyFill="1" applyBorder="1"/>
    <xf numFmtId="0" fontId="25" fillId="7" borderId="103" xfId="1924" applyFont="1" applyFill="1" applyBorder="1"/>
    <xf numFmtId="0" fontId="22" fillId="7" borderId="149" xfId="1924" applyFont="1" applyFill="1" applyBorder="1" applyAlignment="1">
      <alignment horizontal="left"/>
    </xf>
    <xf numFmtId="0" fontId="22" fillId="7" borderId="143" xfId="1924" applyFont="1" applyFill="1" applyBorder="1" applyAlignment="1">
      <alignment horizontal="left"/>
    </xf>
    <xf numFmtId="0" fontId="25" fillId="7" borderId="102" xfId="1924" applyFont="1" applyFill="1" applyBorder="1"/>
    <xf numFmtId="0" fontId="70" fillId="7" borderId="78" xfId="1924" applyFont="1" applyFill="1" applyBorder="1"/>
    <xf numFmtId="0" fontId="22" fillId="0" borderId="87" xfId="1924" applyFont="1" applyBorder="1" applyAlignment="1">
      <alignment horizontal="right"/>
    </xf>
    <xf numFmtId="169" fontId="22" fillId="0" borderId="15" xfId="1924" applyNumberFormat="1" applyFont="1" applyBorder="1"/>
    <xf numFmtId="169" fontId="22" fillId="0" borderId="0" xfId="1924" applyNumberFormat="1" applyFont="1"/>
    <xf numFmtId="169" fontId="22" fillId="0" borderId="261" xfId="1924" applyNumberFormat="1" applyFont="1" applyBorder="1"/>
    <xf numFmtId="2" fontId="19" fillId="0" borderId="210" xfId="1924" applyNumberFormat="1" applyFont="1" applyBorder="1"/>
    <xf numFmtId="2" fontId="22" fillId="0" borderId="15" xfId="1924" applyNumberFormat="1" applyFont="1" applyBorder="1"/>
    <xf numFmtId="2" fontId="22" fillId="0" borderId="87" xfId="1924" applyNumberFormat="1" applyFont="1" applyBorder="1" applyAlignment="1">
      <alignment horizontal="right"/>
    </xf>
    <xf numFmtId="2" fontId="22" fillId="0" borderId="261" xfId="1924" applyNumberFormat="1" applyFont="1" applyBorder="1"/>
    <xf numFmtId="2" fontId="22" fillId="0" borderId="210" xfId="1924" applyNumberFormat="1" applyFont="1" applyBorder="1"/>
    <xf numFmtId="2" fontId="22" fillId="0" borderId="262" xfId="1924" applyNumberFormat="1" applyFont="1" applyBorder="1"/>
    <xf numFmtId="0" fontId="38" fillId="7" borderId="99" xfId="0" applyFont="1" applyFill="1" applyBorder="1" applyProtection="1">
      <protection locked="0"/>
    </xf>
    <xf numFmtId="0" fontId="36" fillId="0" borderId="110" xfId="0" applyFont="1" applyBorder="1"/>
    <xf numFmtId="0" fontId="36" fillId="0" borderId="111" xfId="0" applyFont="1" applyBorder="1" applyProtection="1">
      <protection locked="0"/>
    </xf>
    <xf numFmtId="0" fontId="36" fillId="0" borderId="111" xfId="0" quotePrefix="1" applyFont="1" applyBorder="1"/>
    <xf numFmtId="0" fontId="36" fillId="0" borderId="111" xfId="0" applyFont="1" applyBorder="1"/>
    <xf numFmtId="0" fontId="36" fillId="0" borderId="112" xfId="0" applyFont="1" applyBorder="1"/>
    <xf numFmtId="9" fontId="36" fillId="0" borderId="105" xfId="0" applyNumberFormat="1" applyFont="1" applyBorder="1"/>
    <xf numFmtId="0" fontId="38" fillId="7" borderId="88" xfId="0" applyFont="1" applyFill="1" applyBorder="1" applyProtection="1">
      <protection locked="0"/>
    </xf>
    <xf numFmtId="0" fontId="38" fillId="7" borderId="263" xfId="0" applyFont="1" applyFill="1" applyBorder="1" applyProtection="1">
      <protection locked="0"/>
    </xf>
    <xf numFmtId="0" fontId="36" fillId="0" borderId="226" xfId="0" applyFont="1" applyBorder="1"/>
    <xf numFmtId="0" fontId="36" fillId="0" borderId="226" xfId="0" quotePrefix="1" applyFont="1" applyBorder="1"/>
    <xf numFmtId="0" fontId="38" fillId="7" borderId="264" xfId="0" applyFont="1" applyFill="1" applyBorder="1" applyProtection="1">
      <protection locked="0"/>
    </xf>
    <xf numFmtId="0" fontId="36" fillId="0" borderId="195" xfId="0" applyFont="1" applyBorder="1"/>
    <xf numFmtId="0" fontId="22" fillId="9" borderId="0" xfId="0" applyFont="1" applyFill="1"/>
    <xf numFmtId="0" fontId="19" fillId="0" borderId="0" xfId="0" quotePrefix="1" applyFont="1"/>
    <xf numFmtId="0" fontId="22" fillId="7" borderId="0" xfId="0" applyFont="1" applyFill="1" applyAlignment="1">
      <alignment horizontal="right"/>
    </xf>
    <xf numFmtId="14" fontId="75" fillId="10" borderId="177" xfId="0" applyNumberFormat="1" applyFont="1" applyFill="1" applyBorder="1" applyAlignment="1">
      <alignment horizontal="center"/>
    </xf>
    <xf numFmtId="179" fontId="0" fillId="10" borderId="175" xfId="0" applyNumberFormat="1" applyFill="1" applyBorder="1"/>
    <xf numFmtId="179" fontId="0" fillId="10" borderId="173" xfId="0" applyNumberFormat="1" applyFill="1" applyBorder="1"/>
    <xf numFmtId="14" fontId="65" fillId="10" borderId="177" xfId="0" applyNumberFormat="1" applyFont="1" applyFill="1" applyBorder="1" applyAlignment="1">
      <alignment horizontal="center"/>
    </xf>
    <xf numFmtId="179" fontId="68" fillId="10" borderId="175" xfId="0" applyNumberFormat="1" applyFont="1" applyFill="1" applyBorder="1"/>
    <xf numFmtId="179" fontId="68" fillId="10" borderId="173" xfId="0" applyNumberFormat="1" applyFont="1" applyFill="1" applyBorder="1"/>
    <xf numFmtId="179" fontId="68" fillId="10" borderId="224" xfId="0" applyNumberFormat="1" applyFont="1" applyFill="1" applyBorder="1"/>
    <xf numFmtId="179" fontId="68" fillId="10" borderId="225" xfId="0" applyNumberFormat="1" applyFont="1" applyFill="1" applyBorder="1"/>
    <xf numFmtId="0" fontId="1" fillId="10" borderId="0" xfId="1925" applyFont="1" applyFill="1"/>
    <xf numFmtId="3" fontId="65" fillId="7" borderId="174" xfId="1925" applyNumberFormat="1" applyFont="1" applyFill="1" applyBorder="1"/>
    <xf numFmtId="0" fontId="58" fillId="0" borderId="212" xfId="1925" applyFont="1" applyBorder="1"/>
    <xf numFmtId="0" fontId="58" fillId="0" borderId="265" xfId="1925" applyFont="1" applyBorder="1"/>
    <xf numFmtId="0" fontId="58" fillId="0" borderId="216" xfId="1925" applyFont="1" applyBorder="1"/>
    <xf numFmtId="14" fontId="75" fillId="10" borderId="175" xfId="0" applyNumberFormat="1" applyFont="1" applyFill="1" applyBorder="1" applyAlignment="1">
      <alignment horizontal="center"/>
    </xf>
    <xf numFmtId="14" fontId="59" fillId="0" borderId="0" xfId="0" applyNumberFormat="1" applyFont="1" applyAlignment="1">
      <alignment horizontal="center"/>
    </xf>
    <xf numFmtId="14" fontId="67" fillId="7" borderId="177" xfId="0" applyNumberFormat="1" applyFont="1" applyFill="1" applyBorder="1" applyAlignment="1">
      <alignment horizontal="center"/>
    </xf>
    <xf numFmtId="14" fontId="67" fillId="7" borderId="175" xfId="0" applyNumberFormat="1" applyFont="1" applyFill="1" applyBorder="1" applyAlignment="1">
      <alignment horizontal="center"/>
    </xf>
    <xf numFmtId="14" fontId="67" fillId="7" borderId="173" xfId="0" applyNumberFormat="1" applyFont="1" applyFill="1" applyBorder="1" applyAlignment="1">
      <alignment horizontal="center"/>
    </xf>
    <xf numFmtId="14" fontId="65" fillId="10" borderId="175" xfId="0" applyNumberFormat="1" applyFont="1" applyFill="1" applyBorder="1" applyAlignment="1">
      <alignment horizontal="center"/>
    </xf>
    <xf numFmtId="14" fontId="65" fillId="0" borderId="0" xfId="0" applyNumberFormat="1" applyFont="1" applyAlignment="1">
      <alignment horizontal="center"/>
    </xf>
    <xf numFmtId="14" fontId="67" fillId="7" borderId="187" xfId="0" applyNumberFormat="1" applyFont="1" applyFill="1" applyBorder="1" applyAlignment="1">
      <alignment horizontal="center" wrapText="1"/>
    </xf>
    <xf numFmtId="14" fontId="67" fillId="7" borderId="174" xfId="0" applyNumberFormat="1" applyFont="1" applyFill="1" applyBorder="1" applyAlignment="1">
      <alignment horizontal="center" wrapText="1"/>
    </xf>
    <xf numFmtId="14" fontId="67" fillId="7" borderId="188" xfId="0" applyNumberFormat="1" applyFont="1" applyFill="1" applyBorder="1" applyAlignment="1">
      <alignment horizontal="center" wrapText="1"/>
    </xf>
    <xf numFmtId="14" fontId="65" fillId="7" borderId="74" xfId="0" applyNumberFormat="1" applyFont="1" applyFill="1" applyBorder="1" applyAlignment="1">
      <alignment horizontal="center" wrapText="1"/>
    </xf>
    <xf numFmtId="14" fontId="65" fillId="7" borderId="75" xfId="0" applyNumberFormat="1" applyFont="1" applyFill="1" applyBorder="1" applyAlignment="1">
      <alignment horizontal="center" wrapText="1"/>
    </xf>
    <xf numFmtId="14" fontId="65" fillId="7" borderId="81" xfId="0" applyNumberFormat="1" applyFont="1" applyFill="1" applyBorder="1" applyAlignment="1">
      <alignment horizontal="center" wrapText="1"/>
    </xf>
    <xf numFmtId="14" fontId="0" fillId="0" borderId="266" xfId="0" applyNumberFormat="1" applyBorder="1" applyAlignment="1">
      <alignment horizontal="center"/>
    </xf>
    <xf numFmtId="14" fontId="0" fillId="0" borderId="267" xfId="0" applyNumberFormat="1" applyBorder="1" applyAlignment="1">
      <alignment horizontal="center"/>
    </xf>
    <xf numFmtId="14" fontId="0" fillId="0" borderId="268" xfId="0" applyNumberFormat="1" applyBorder="1" applyAlignment="1">
      <alignment horizontal="center"/>
    </xf>
    <xf numFmtId="14" fontId="0" fillId="0" borderId="269" xfId="0" applyNumberFormat="1" applyBorder="1" applyAlignment="1">
      <alignment horizontal="center"/>
    </xf>
    <xf numFmtId="3" fontId="66" fillId="0" borderId="270" xfId="0" applyNumberFormat="1" applyFont="1" applyBorder="1" applyAlignment="1">
      <alignment horizontal="center"/>
    </xf>
    <xf numFmtId="180" fontId="0" fillId="0" borderId="270" xfId="0" applyNumberFormat="1" applyBorder="1"/>
    <xf numFmtId="179" fontId="68" fillId="0" borderId="270" xfId="0" applyNumberFormat="1" applyFont="1" applyBorder="1"/>
    <xf numFmtId="9" fontId="1" fillId="0" borderId="229" xfId="1" applyFont="1" applyBorder="1" applyAlignment="1">
      <alignment horizontal="center"/>
    </xf>
    <xf numFmtId="166" fontId="20" fillId="11" borderId="91" xfId="0" applyNumberFormat="1" applyFont="1" applyFill="1" applyBorder="1"/>
    <xf numFmtId="0" fontId="19" fillId="12" borderId="0" xfId="0" applyFont="1" applyFill="1"/>
    <xf numFmtId="49" fontId="19" fillId="12" borderId="259" xfId="0" applyNumberFormat="1" applyFont="1" applyFill="1" applyBorder="1" applyAlignment="1">
      <alignment vertical="top"/>
    </xf>
    <xf numFmtId="0" fontId="19" fillId="12" borderId="191" xfId="0" applyFont="1" applyFill="1" applyBorder="1" applyAlignment="1">
      <alignment horizontal="left" vertical="top"/>
    </xf>
    <xf numFmtId="0" fontId="19" fillId="12" borderId="192" xfId="0" applyFont="1" applyFill="1" applyBorder="1" applyAlignment="1">
      <alignment horizontal="left" vertical="top" wrapText="1"/>
    </xf>
    <xf numFmtId="172" fontId="19" fillId="12" borderId="145" xfId="0" applyNumberFormat="1" applyFont="1" applyFill="1" applyBorder="1" applyAlignment="1" applyProtection="1">
      <alignment horizontal="center" vertical="top"/>
      <protection locked="0"/>
    </xf>
    <xf numFmtId="3" fontId="20" fillId="12" borderId="0" xfId="0" applyNumberFormat="1" applyFont="1" applyFill="1" applyAlignment="1">
      <alignment horizontal="left"/>
    </xf>
    <xf numFmtId="3" fontId="48" fillId="7" borderId="169" xfId="0" applyNumberFormat="1" applyFont="1" applyFill="1" applyBorder="1"/>
    <xf numFmtId="3" fontId="20" fillId="0" borderId="271" xfId="0" applyNumberFormat="1" applyFont="1" applyBorder="1"/>
    <xf numFmtId="3" fontId="20" fillId="0" borderId="272" xfId="0" applyNumberFormat="1" applyFont="1" applyBorder="1"/>
    <xf numFmtId="3" fontId="20" fillId="0" borderId="273" xfId="0" applyNumberFormat="1" applyFont="1" applyBorder="1"/>
    <xf numFmtId="3" fontId="48" fillId="7" borderId="245" xfId="0" applyNumberFormat="1" applyFont="1" applyFill="1" applyBorder="1"/>
    <xf numFmtId="3" fontId="20" fillId="0" borderId="274" xfId="0" applyNumberFormat="1" applyFont="1" applyBorder="1"/>
    <xf numFmtId="3" fontId="20" fillId="8" borderId="272" xfId="0" applyNumberFormat="1" applyFont="1" applyFill="1" applyBorder="1"/>
    <xf numFmtId="3" fontId="20" fillId="8" borderId="275" xfId="0" applyNumberFormat="1" applyFont="1" applyFill="1" applyBorder="1"/>
    <xf numFmtId="3" fontId="48" fillId="7" borderId="276" xfId="0" applyNumberFormat="1" applyFont="1" applyFill="1" applyBorder="1"/>
    <xf numFmtId="3" fontId="20" fillId="0" borderId="169" xfId="0" applyNumberFormat="1" applyFont="1" applyBorder="1"/>
    <xf numFmtId="3" fontId="48" fillId="0" borderId="245" xfId="0" applyNumberFormat="1" applyFont="1" applyBorder="1"/>
    <xf numFmtId="3" fontId="20" fillId="0" borderId="271" xfId="0" applyNumberFormat="1" applyFont="1" applyBorder="1" applyAlignment="1">
      <alignment horizontal="left" indent="1"/>
    </xf>
    <xf numFmtId="3" fontId="20" fillId="8" borderId="272" xfId="0" applyNumberFormat="1" applyFont="1" applyFill="1" applyBorder="1" applyAlignment="1">
      <alignment horizontal="left" indent="1"/>
    </xf>
    <xf numFmtId="3" fontId="20" fillId="8" borderId="274" xfId="0" applyNumberFormat="1" applyFont="1" applyFill="1" applyBorder="1" applyAlignment="1">
      <alignment horizontal="left" indent="1"/>
    </xf>
    <xf numFmtId="3" fontId="20" fillId="0" borderId="276" xfId="0" applyNumberFormat="1" applyFont="1" applyBorder="1"/>
    <xf numFmtId="0" fontId="20" fillId="0" borderId="15" xfId="0" applyFont="1" applyBorder="1"/>
    <xf numFmtId="166" fontId="20" fillId="0" borderId="15" xfId="0" applyNumberFormat="1" applyFont="1" applyBorder="1"/>
    <xf numFmtId="3" fontId="20" fillId="0" borderId="15" xfId="0" applyNumberFormat="1" applyFont="1" applyBorder="1"/>
    <xf numFmtId="3" fontId="48" fillId="7" borderId="204" xfId="0" applyNumberFormat="1" applyFont="1" applyFill="1" applyBorder="1"/>
    <xf numFmtId="3" fontId="20" fillId="0" borderId="277" xfId="0" applyNumberFormat="1" applyFont="1" applyBorder="1"/>
    <xf numFmtId="3" fontId="20" fillId="0" borderId="278" xfId="0" applyNumberFormat="1" applyFont="1" applyBorder="1"/>
    <xf numFmtId="3" fontId="20" fillId="0" borderId="279" xfId="0" applyNumberFormat="1" applyFont="1" applyBorder="1"/>
    <xf numFmtId="3" fontId="48" fillId="7" borderId="226" xfId="0" applyNumberFormat="1" applyFont="1" applyFill="1" applyBorder="1"/>
    <xf numFmtId="3" fontId="20" fillId="0" borderId="280" xfId="0" applyNumberFormat="1" applyFont="1" applyBorder="1"/>
    <xf numFmtId="3" fontId="20" fillId="8" borderId="278" xfId="0" applyNumberFormat="1" applyFont="1" applyFill="1" applyBorder="1"/>
    <xf numFmtId="3" fontId="20" fillId="8" borderId="281" xfId="0" applyNumberFormat="1" applyFont="1" applyFill="1" applyBorder="1"/>
    <xf numFmtId="3" fontId="20" fillId="0" borderId="226" xfId="0" applyNumberFormat="1" applyFont="1" applyBorder="1"/>
    <xf numFmtId="3" fontId="48" fillId="0" borderId="226" xfId="0" applyNumberFormat="1" applyFont="1" applyBorder="1"/>
    <xf numFmtId="3" fontId="20" fillId="0" borderId="226" xfId="0" applyNumberFormat="1" applyFont="1" applyBorder="1" applyAlignment="1">
      <alignment horizontal="left" indent="1"/>
    </xf>
    <xf numFmtId="3" fontId="20" fillId="8" borderId="278" xfId="0" applyNumberFormat="1" applyFont="1" applyFill="1" applyBorder="1" applyAlignment="1">
      <alignment horizontal="left" indent="1"/>
    </xf>
    <xf numFmtId="3" fontId="48" fillId="7" borderId="195" xfId="0" applyNumberFormat="1" applyFont="1" applyFill="1" applyBorder="1"/>
    <xf numFmtId="3" fontId="48" fillId="7" borderId="101" xfId="0" applyNumberFormat="1" applyFont="1" applyFill="1" applyBorder="1" applyAlignment="1">
      <alignment horizontal="center" wrapText="1"/>
    </xf>
    <xf numFmtId="0" fontId="48" fillId="7" borderId="104" xfId="0" applyFont="1" applyFill="1" applyBorder="1" applyAlignment="1" applyProtection="1">
      <alignment wrapText="1"/>
      <protection locked="0"/>
    </xf>
    <xf numFmtId="3" fontId="20" fillId="0" borderId="234" xfId="0" applyNumberFormat="1" applyFont="1" applyBorder="1" applyAlignment="1">
      <alignment wrapText="1"/>
    </xf>
    <xf numFmtId="0" fontId="48" fillId="0" borderId="111" xfId="0" applyFont="1" applyBorder="1" applyAlignment="1">
      <alignment wrapText="1"/>
    </xf>
    <xf numFmtId="0" fontId="20" fillId="0" borderId="111" xfId="0" applyFont="1" applyBorder="1" applyAlignment="1">
      <alignment wrapText="1"/>
    </xf>
    <xf numFmtId="0" fontId="20" fillId="0" borderId="110" xfId="0" applyFont="1" applyBorder="1" applyAlignment="1">
      <alignment wrapText="1"/>
    </xf>
    <xf numFmtId="3" fontId="48" fillId="0" borderId="104" xfId="0" applyNumberFormat="1" applyFont="1" applyBorder="1" applyAlignment="1">
      <alignment wrapText="1"/>
    </xf>
    <xf numFmtId="3" fontId="20" fillId="0" borderId="110" xfId="0" applyNumberFormat="1" applyFont="1" applyBorder="1" applyAlignment="1">
      <alignment wrapText="1"/>
    </xf>
    <xf numFmtId="3" fontId="48" fillId="7" borderId="111" xfId="0" applyNumberFormat="1" applyFont="1" applyFill="1" applyBorder="1" applyAlignment="1">
      <alignment vertical="center" wrapText="1"/>
    </xf>
    <xf numFmtId="3" fontId="48" fillId="7" borderId="112" xfId="0" applyNumberFormat="1" applyFont="1" applyFill="1" applyBorder="1" applyAlignment="1">
      <alignment vertical="center" wrapText="1"/>
    </xf>
    <xf numFmtId="3" fontId="48" fillId="7" borderId="282" xfId="0" applyNumberFormat="1" applyFont="1" applyFill="1" applyBorder="1" applyAlignment="1">
      <alignment vertical="center" wrapText="1"/>
    </xf>
    <xf numFmtId="0" fontId="20" fillId="0" borderId="75" xfId="0" applyFont="1" applyBorder="1" applyProtection="1">
      <protection locked="0"/>
    </xf>
    <xf numFmtId="3" fontId="48" fillId="7" borderId="204" xfId="0" applyNumberFormat="1" applyFont="1" applyFill="1" applyBorder="1" applyAlignment="1">
      <alignment horizontal="center" wrapText="1"/>
    </xf>
    <xf numFmtId="0" fontId="48" fillId="7" borderId="226" xfId="0" applyFont="1" applyFill="1" applyBorder="1" applyProtection="1">
      <protection locked="0"/>
    </xf>
    <xf numFmtId="3" fontId="48" fillId="0" borderId="277" xfId="0" applyNumberFormat="1" applyFont="1" applyBorder="1" applyAlignment="1">
      <alignment wrapText="1"/>
    </xf>
    <xf numFmtId="3" fontId="20" fillId="0" borderId="280" xfId="0" applyNumberFormat="1" applyFont="1" applyBorder="1" applyAlignment="1">
      <alignment wrapText="1"/>
    </xf>
    <xf numFmtId="3" fontId="20" fillId="0" borderId="281" xfId="0" applyNumberFormat="1" applyFont="1" applyBorder="1" applyAlignment="1">
      <alignment wrapText="1"/>
    </xf>
    <xf numFmtId="3" fontId="48" fillId="7" borderId="226" xfId="0" applyNumberFormat="1" applyFont="1" applyFill="1" applyBorder="1" applyAlignment="1">
      <alignment vertical="center" wrapText="1"/>
    </xf>
    <xf numFmtId="3" fontId="20" fillId="0" borderId="278" xfId="0" applyNumberFormat="1" applyFont="1" applyBorder="1" applyAlignment="1">
      <alignment wrapText="1"/>
    </xf>
    <xf numFmtId="0" fontId="48" fillId="0" borderId="278" xfId="0" applyFont="1" applyBorder="1"/>
    <xf numFmtId="0" fontId="20" fillId="0" borderId="278" xfId="0" applyFont="1" applyBorder="1" applyAlignment="1">
      <alignment wrapText="1"/>
    </xf>
    <xf numFmtId="3" fontId="48" fillId="0" borderId="278" xfId="0" applyNumberFormat="1" applyFont="1" applyBorder="1" applyAlignment="1">
      <alignment wrapText="1"/>
    </xf>
    <xf numFmtId="3" fontId="48" fillId="0" borderId="226" xfId="0" applyNumberFormat="1" applyFont="1" applyBorder="1" applyAlignment="1">
      <alignment wrapText="1"/>
    </xf>
    <xf numFmtId="3" fontId="48" fillId="7" borderId="278" xfId="0" applyNumberFormat="1" applyFont="1" applyFill="1" applyBorder="1" applyAlignment="1">
      <alignment vertical="center" wrapText="1"/>
    </xf>
    <xf numFmtId="3" fontId="48" fillId="7" borderId="281" xfId="0" applyNumberFormat="1" applyFont="1" applyFill="1" applyBorder="1" applyAlignment="1">
      <alignment vertical="center" wrapText="1"/>
    </xf>
    <xf numFmtId="0" fontId="54" fillId="0" borderId="226" xfId="0" applyFont="1" applyBorder="1" applyProtection="1">
      <protection locked="0"/>
    </xf>
    <xf numFmtId="3" fontId="48" fillId="7" borderId="283" xfId="0" applyNumberFormat="1" applyFont="1" applyFill="1" applyBorder="1" applyAlignment="1">
      <alignment vertical="center" wrapText="1"/>
    </xf>
    <xf numFmtId="3" fontId="65" fillId="7" borderId="194" xfId="1925" applyNumberFormat="1" applyFont="1" applyFill="1" applyBorder="1"/>
    <xf numFmtId="180" fontId="56" fillId="0" borderId="213" xfId="1925" applyNumberFormat="1" applyBorder="1" applyAlignment="1">
      <alignment horizontal="center"/>
    </xf>
    <xf numFmtId="180" fontId="56" fillId="0" borderId="214" xfId="1925" applyNumberFormat="1" applyBorder="1" applyAlignment="1">
      <alignment horizontal="center"/>
    </xf>
    <xf numFmtId="180" fontId="56" fillId="0" borderId="215" xfId="1925" applyNumberFormat="1" applyBorder="1" applyAlignment="1">
      <alignment horizontal="center"/>
    </xf>
    <xf numFmtId="3" fontId="20" fillId="0" borderId="279" xfId="0" applyNumberFormat="1" applyFont="1" applyBorder="1" applyAlignment="1">
      <alignment wrapText="1"/>
    </xf>
    <xf numFmtId="3" fontId="20" fillId="0" borderId="284" xfId="0" applyNumberFormat="1" applyFont="1" applyBorder="1" applyAlignment="1">
      <alignment wrapText="1"/>
    </xf>
    <xf numFmtId="0" fontId="20" fillId="0" borderId="285" xfId="0" applyFont="1" applyBorder="1" applyAlignment="1">
      <alignment wrapText="1"/>
    </xf>
    <xf numFmtId="0" fontId="20" fillId="0" borderId="286" xfId="0" applyFont="1" applyBorder="1" applyAlignment="1">
      <alignment wrapText="1"/>
    </xf>
    <xf numFmtId="0" fontId="20" fillId="0" borderId="280" xfId="0" applyFont="1" applyBorder="1" applyAlignment="1">
      <alignment wrapText="1"/>
    </xf>
    <xf numFmtId="0" fontId="22" fillId="0" borderId="245" xfId="1924" applyFont="1" applyBorder="1"/>
    <xf numFmtId="0" fontId="22" fillId="7" borderId="0" xfId="1924" applyFont="1" applyFill="1"/>
    <xf numFmtId="171" fontId="22" fillId="7" borderId="0" xfId="1924" applyNumberFormat="1" applyFont="1" applyFill="1"/>
    <xf numFmtId="171" fontId="22" fillId="0" borderId="0" xfId="1924" applyNumberFormat="1" applyFont="1"/>
    <xf numFmtId="0" fontId="19" fillId="8" borderId="0" xfId="0" applyFont="1" applyFill="1" applyAlignment="1">
      <alignment horizontal="center" vertical="center"/>
    </xf>
    <xf numFmtId="0" fontId="19" fillId="13" borderId="148" xfId="0" applyFont="1" applyFill="1" applyBorder="1" applyAlignment="1">
      <alignment horizontal="center" vertical="center"/>
    </xf>
    <xf numFmtId="3" fontId="20" fillId="0" borderId="283" xfId="0" applyNumberFormat="1" applyFont="1" applyBorder="1" applyAlignment="1">
      <alignment wrapText="1"/>
    </xf>
    <xf numFmtId="182" fontId="56" fillId="0" borderId="212" xfId="1925" applyNumberFormat="1" applyBorder="1" applyAlignment="1">
      <alignment horizontal="center"/>
    </xf>
    <xf numFmtId="182" fontId="56" fillId="0" borderId="190" xfId="1925" applyNumberFormat="1" applyBorder="1" applyAlignment="1">
      <alignment horizontal="center"/>
    </xf>
    <xf numFmtId="182" fontId="56" fillId="0" borderId="216" xfId="1925" applyNumberFormat="1" applyBorder="1" applyAlignment="1">
      <alignment horizontal="center"/>
    </xf>
    <xf numFmtId="182" fontId="56" fillId="0" borderId="213" xfId="1925" applyNumberFormat="1" applyBorder="1" applyAlignment="1">
      <alignment horizontal="center"/>
    </xf>
    <xf numFmtId="182" fontId="56" fillId="0" borderId="214" xfId="1925" applyNumberFormat="1" applyBorder="1" applyAlignment="1">
      <alignment horizontal="center"/>
    </xf>
    <xf numFmtId="182" fontId="56" fillId="0" borderId="215" xfId="1925" applyNumberFormat="1" applyBorder="1" applyAlignment="1">
      <alignment horizontal="center"/>
    </xf>
    <xf numFmtId="182" fontId="58" fillId="7" borderId="173" xfId="1925" applyNumberFormat="1"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62" fillId="0" borderId="0" xfId="0" applyFont="1" applyAlignment="1">
      <alignment horizontal="left" vertical="top" wrapText="1"/>
    </xf>
    <xf numFmtId="0" fontId="62" fillId="0" borderId="0" xfId="0" applyFont="1" applyAlignment="1">
      <alignment horizontal="left" vertical="top"/>
    </xf>
    <xf numFmtId="0" fontId="0" fillId="0" borderId="0" xfId="0" applyAlignment="1">
      <alignment horizontal="left" vertical="top" wrapText="1"/>
    </xf>
    <xf numFmtId="0" fontId="0" fillId="0" borderId="0" xfId="0" applyAlignment="1">
      <alignment wrapText="1"/>
    </xf>
    <xf numFmtId="0" fontId="0" fillId="0" borderId="0" xfId="0"/>
    <xf numFmtId="0" fontId="40" fillId="0" borderId="107" xfId="0" applyFont="1" applyBorder="1" applyAlignment="1">
      <alignment horizontal="left"/>
    </xf>
    <xf numFmtId="0" fontId="40" fillId="0" borderId="95" xfId="0" applyFont="1" applyBorder="1" applyAlignment="1">
      <alignment horizontal="left"/>
    </xf>
    <xf numFmtId="0" fontId="40" fillId="8" borderId="107" xfId="0" applyFont="1" applyFill="1" applyBorder="1" applyAlignment="1">
      <alignment horizontal="center"/>
    </xf>
    <xf numFmtId="0" fontId="40" fillId="8" borderId="95" xfId="0" applyFont="1" applyFill="1" applyBorder="1" applyAlignment="1">
      <alignment horizontal="center"/>
    </xf>
    <xf numFmtId="0" fontId="40" fillId="8" borderId="96" xfId="0" applyFont="1" applyFill="1" applyBorder="1" applyAlignment="1">
      <alignment horizontal="center"/>
    </xf>
    <xf numFmtId="0" fontId="40" fillId="8" borderId="99" xfId="0" applyFont="1" applyFill="1" applyBorder="1" applyAlignment="1">
      <alignment horizontal="center"/>
    </xf>
    <xf numFmtId="0" fontId="40" fillId="8" borderId="97" xfId="0" applyFont="1" applyFill="1" applyBorder="1" applyAlignment="1">
      <alignment horizontal="center"/>
    </xf>
    <xf numFmtId="0" fontId="42" fillId="0" borderId="0" xfId="0" applyFont="1" applyAlignment="1">
      <alignment horizontal="center"/>
    </xf>
    <xf numFmtId="0" fontId="40" fillId="0" borderId="104" xfId="0" applyFont="1" applyBorder="1" applyAlignment="1">
      <alignment horizontal="left"/>
    </xf>
    <xf numFmtId="0" fontId="40" fillId="0" borderId="0" xfId="0" applyFont="1" applyAlignment="1">
      <alignment horizontal="left"/>
    </xf>
    <xf numFmtId="0" fontId="40" fillId="0" borderId="99" xfId="0" applyFont="1" applyBorder="1" applyAlignment="1">
      <alignment horizontal="left"/>
    </xf>
    <xf numFmtId="0" fontId="40" fillId="0" borderId="98" xfId="0" applyFont="1" applyBorder="1" applyAlignment="1">
      <alignment horizontal="left"/>
    </xf>
    <xf numFmtId="0" fontId="40" fillId="8" borderId="98" xfId="0" applyFont="1" applyFill="1" applyBorder="1" applyAlignment="1">
      <alignment horizontal="center"/>
    </xf>
    <xf numFmtId="0" fontId="42" fillId="0" borderId="0" xfId="0" applyFont="1" applyAlignment="1">
      <alignment horizontal="center" wrapText="1"/>
    </xf>
    <xf numFmtId="0" fontId="48" fillId="7" borderId="101" xfId="0" applyFont="1" applyFill="1" applyBorder="1" applyAlignment="1" applyProtection="1">
      <alignment horizontal="center" vertical="center"/>
      <protection locked="0"/>
    </xf>
    <xf numFmtId="0" fontId="48" fillId="7" borderId="102" xfId="0" applyFont="1" applyFill="1" applyBorder="1" applyAlignment="1" applyProtection="1">
      <alignment horizontal="center" vertical="center"/>
      <protection locked="0"/>
    </xf>
    <xf numFmtId="3" fontId="20" fillId="7" borderId="84" xfId="0" applyNumberFormat="1" applyFont="1" applyFill="1" applyBorder="1" applyAlignment="1">
      <alignment horizontal="center"/>
    </xf>
    <xf numFmtId="3" fontId="20" fillId="7" borderId="0" xfId="0" applyNumberFormat="1" applyFont="1" applyFill="1" applyAlignment="1">
      <alignment horizontal="center"/>
    </xf>
    <xf numFmtId="3" fontId="20" fillId="7" borderId="102" xfId="0" applyNumberFormat="1" applyFont="1" applyFill="1" applyBorder="1" applyAlignment="1">
      <alignment horizontal="center"/>
    </xf>
    <xf numFmtId="3" fontId="9" fillId="4" borderId="17" xfId="0" applyNumberFormat="1" applyFont="1" applyFill="1" applyBorder="1" applyAlignment="1">
      <alignment horizontal="center"/>
    </xf>
    <xf numFmtId="3" fontId="9" fillId="4" borderId="0" xfId="0" applyNumberFormat="1" applyFont="1" applyFill="1" applyAlignment="1">
      <alignment horizontal="center"/>
    </xf>
    <xf numFmtId="3" fontId="9" fillId="4" borderId="15" xfId="0" applyNumberFormat="1" applyFont="1" applyFill="1" applyBorder="1" applyAlignment="1">
      <alignment horizontal="center"/>
    </xf>
    <xf numFmtId="170" fontId="10" fillId="0" borderId="10" xfId="0" applyNumberFormat="1" applyFont="1" applyBorder="1" applyAlignment="1">
      <alignment horizontal="center"/>
    </xf>
    <xf numFmtId="170" fontId="10" fillId="0" borderId="19" xfId="0" applyNumberFormat="1" applyFont="1" applyBorder="1" applyAlignment="1">
      <alignment horizontal="center"/>
    </xf>
    <xf numFmtId="3" fontId="15" fillId="3" borderId="5" xfId="0" applyNumberFormat="1" applyFont="1" applyFill="1" applyBorder="1" applyAlignment="1" applyProtection="1">
      <alignment horizontal="center"/>
      <protection locked="0"/>
    </xf>
    <xf numFmtId="3" fontId="15" fillId="3" borderId="6" xfId="0" applyNumberFormat="1" applyFont="1" applyFill="1" applyBorder="1" applyAlignment="1" applyProtection="1">
      <alignment horizontal="center"/>
      <protection locked="0"/>
    </xf>
    <xf numFmtId="3" fontId="15" fillId="3" borderId="7" xfId="0" applyNumberFormat="1" applyFont="1" applyFill="1" applyBorder="1" applyAlignment="1" applyProtection="1">
      <alignment horizontal="center"/>
      <protection locked="0"/>
    </xf>
    <xf numFmtId="3" fontId="13" fillId="0" borderId="0" xfId="0" applyNumberFormat="1" applyFont="1" applyAlignment="1">
      <alignment horizontal="left" wrapText="1"/>
    </xf>
    <xf numFmtId="3" fontId="9" fillId="4" borderId="25" xfId="0" applyNumberFormat="1" applyFont="1" applyFill="1" applyBorder="1" applyAlignment="1">
      <alignment horizontal="center"/>
    </xf>
    <xf numFmtId="3" fontId="9" fillId="4" borderId="21" xfId="0" applyNumberFormat="1" applyFont="1" applyFill="1" applyBorder="1" applyAlignment="1">
      <alignment horizontal="center"/>
    </xf>
    <xf numFmtId="3" fontId="9" fillId="4" borderId="45" xfId="0" applyNumberFormat="1" applyFont="1" applyFill="1" applyBorder="1" applyAlignment="1">
      <alignment horizontal="center"/>
    </xf>
    <xf numFmtId="181" fontId="48" fillId="0" borderId="75" xfId="1927" applyNumberFormat="1" applyFont="1" applyFill="1" applyBorder="1" applyAlignment="1">
      <alignment horizontal="center"/>
    </xf>
    <xf numFmtId="1" fontId="20" fillId="7" borderId="187" xfId="0" applyNumberFormat="1" applyFont="1" applyFill="1" applyBorder="1" applyAlignment="1">
      <alignment horizontal="center"/>
    </xf>
    <xf numFmtId="1" fontId="20" fillId="7" borderId="174" xfId="0" applyNumberFormat="1" applyFont="1" applyFill="1" applyBorder="1" applyAlignment="1">
      <alignment horizontal="center"/>
    </xf>
    <xf numFmtId="1" fontId="20" fillId="7" borderId="188" xfId="0" applyNumberFormat="1" applyFont="1" applyFill="1" applyBorder="1" applyAlignment="1">
      <alignment horizontal="center"/>
    </xf>
    <xf numFmtId="170" fontId="10" fillId="0" borderId="20" xfId="0" applyNumberFormat="1" applyFont="1" applyBorder="1" applyAlignment="1">
      <alignment horizontal="center"/>
    </xf>
    <xf numFmtId="0" fontId="69" fillId="7" borderId="187" xfId="1924" applyFont="1" applyFill="1" applyBorder="1" applyAlignment="1">
      <alignment horizontal="center"/>
    </xf>
    <xf numFmtId="0" fontId="69" fillId="7" borderId="174" xfId="1924" applyFont="1" applyFill="1" applyBorder="1" applyAlignment="1">
      <alignment horizontal="center"/>
    </xf>
    <xf numFmtId="0" fontId="69" fillId="7" borderId="188" xfId="1924" applyFont="1" applyFill="1" applyBorder="1" applyAlignment="1">
      <alignment horizontal="center"/>
    </xf>
    <xf numFmtId="0" fontId="22" fillId="0" borderId="99" xfId="1924" applyFont="1" applyBorder="1" applyAlignment="1">
      <alignment horizontal="center"/>
    </xf>
    <xf numFmtId="0" fontId="22" fillId="0" borderId="98" xfId="1924" applyFont="1" applyBorder="1" applyAlignment="1">
      <alignment horizontal="center"/>
    </xf>
    <xf numFmtId="0" fontId="22" fillId="0" borderId="97" xfId="1924" applyFont="1" applyBorder="1" applyAlignment="1">
      <alignment horizontal="center"/>
    </xf>
    <xf numFmtId="3" fontId="65" fillId="7" borderId="174" xfId="1925" applyNumberFormat="1" applyFont="1" applyFill="1" applyBorder="1" applyAlignment="1">
      <alignment horizontal="center"/>
    </xf>
    <xf numFmtId="0" fontId="56" fillId="0" borderId="216" xfId="1925" applyBorder="1" applyAlignment="1">
      <alignment horizontal="center"/>
    </xf>
    <xf numFmtId="0" fontId="1" fillId="0" borderId="0" xfId="1925" applyFont="1" applyAlignment="1">
      <alignment horizontal="left" wrapText="1"/>
    </xf>
    <xf numFmtId="3" fontId="65" fillId="7" borderId="194" xfId="1925" applyNumberFormat="1" applyFont="1" applyFill="1" applyBorder="1" applyAlignment="1">
      <alignment horizontal="center"/>
    </xf>
    <xf numFmtId="0" fontId="1" fillId="0" borderId="212" xfId="1925" applyFont="1" applyBorder="1" applyAlignment="1">
      <alignment horizontal="center"/>
    </xf>
    <xf numFmtId="0" fontId="56" fillId="0" borderId="212" xfId="1925" applyBorder="1" applyAlignment="1">
      <alignment horizontal="center"/>
    </xf>
    <xf numFmtId="3" fontId="65" fillId="7" borderId="177" xfId="1925" applyNumberFormat="1" applyFont="1" applyFill="1" applyBorder="1" applyAlignment="1">
      <alignment horizontal="center"/>
    </xf>
    <xf numFmtId="3" fontId="65" fillId="7" borderId="175" xfId="1925" applyNumberFormat="1" applyFont="1" applyFill="1" applyBorder="1" applyAlignment="1">
      <alignment horizontal="center"/>
    </xf>
    <xf numFmtId="0" fontId="56" fillId="0" borderId="190" xfId="1925" applyBorder="1" applyAlignment="1">
      <alignment horizontal="center"/>
    </xf>
    <xf numFmtId="0" fontId="1" fillId="0" borderId="190" xfId="1925" applyFont="1" applyBorder="1" applyAlignment="1">
      <alignment horizontal="center"/>
    </xf>
    <xf numFmtId="0" fontId="19" fillId="8" borderId="113" xfId="0" applyFont="1" applyFill="1" applyBorder="1" applyAlignment="1">
      <alignment horizontal="center" vertical="center"/>
    </xf>
    <xf numFmtId="0" fontId="19" fillId="8" borderId="146" xfId="0" applyFont="1" applyFill="1" applyBorder="1" applyAlignment="1">
      <alignment horizontal="left" vertical="center"/>
    </xf>
    <xf numFmtId="0" fontId="19" fillId="8" borderId="146" xfId="0" applyFont="1" applyFill="1" applyBorder="1" applyAlignment="1">
      <alignment horizontal="center" vertical="center"/>
    </xf>
    <xf numFmtId="3" fontId="19" fillId="8" borderId="146" xfId="0" applyNumberFormat="1" applyFont="1" applyFill="1" applyBorder="1" applyAlignment="1">
      <alignment horizontal="center" vertical="center"/>
    </xf>
    <xf numFmtId="9" fontId="19" fillId="8" borderId="114" xfId="1" applyFont="1" applyFill="1" applyBorder="1" applyAlignment="1">
      <alignment horizontal="center" vertical="center"/>
    </xf>
    <xf numFmtId="181" fontId="22" fillId="0" borderId="79" xfId="1927" applyNumberFormat="1" applyFont="1" applyBorder="1" applyAlignment="1">
      <alignment horizontal="center"/>
    </xf>
    <xf numFmtId="170" fontId="22" fillId="0" borderId="0" xfId="0" applyNumberFormat="1" applyFont="1" applyAlignment="1">
      <alignment horizontal="center"/>
    </xf>
    <xf numFmtId="0" fontId="22" fillId="7" borderId="177" xfId="0" applyFont="1" applyFill="1" applyBorder="1" applyAlignment="1">
      <alignment horizontal="center" vertical="center"/>
    </xf>
    <xf numFmtId="0" fontId="22" fillId="7" borderId="175" xfId="0" applyFont="1" applyFill="1" applyBorder="1" applyAlignment="1">
      <alignment horizontal="center" vertical="center"/>
    </xf>
    <xf numFmtId="0" fontId="22" fillId="7" borderId="173" xfId="0" applyFont="1" applyFill="1" applyBorder="1" applyAlignment="1">
      <alignment horizontal="center" vertical="center"/>
    </xf>
    <xf numFmtId="0" fontId="22"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30" fillId="3" borderId="187" xfId="0" applyFont="1" applyFill="1" applyBorder="1" applyAlignment="1">
      <alignment horizontal="center"/>
    </xf>
    <xf numFmtId="0" fontId="30" fillId="3" borderId="174" xfId="0" applyFont="1" applyFill="1" applyBorder="1" applyAlignment="1">
      <alignment horizontal="center"/>
    </xf>
    <xf numFmtId="0" fontId="30" fillId="3" borderId="253" xfId="0" applyFont="1" applyFill="1" applyBorder="1" applyAlignment="1">
      <alignment horizontal="center"/>
    </xf>
    <xf numFmtId="0" fontId="31" fillId="7" borderId="251" xfId="0" applyFont="1" applyFill="1" applyBorder="1" applyAlignment="1">
      <alignment horizontal="center"/>
    </xf>
    <xf numFmtId="0" fontId="31" fillId="7" borderId="102" xfId="0" applyFont="1" applyFill="1" applyBorder="1" applyAlignment="1">
      <alignment horizontal="center"/>
    </xf>
    <xf numFmtId="0" fontId="31" fillId="7" borderId="103" xfId="0" applyFont="1" applyFill="1" applyBorder="1" applyAlignment="1">
      <alignment horizontal="center"/>
    </xf>
    <xf numFmtId="0" fontId="31" fillId="7" borderId="187" xfId="0" applyFont="1" applyFill="1" applyBorder="1" applyAlignment="1">
      <alignment horizontal="center"/>
    </xf>
    <xf numFmtId="0" fontId="31" fillId="7" borderId="174" xfId="0" applyFont="1" applyFill="1" applyBorder="1" applyAlignment="1">
      <alignment horizontal="center"/>
    </xf>
    <xf numFmtId="0" fontId="31" fillId="7" borderId="188" xfId="0" applyFont="1" applyFill="1" applyBorder="1" applyAlignment="1">
      <alignment horizontal="center"/>
    </xf>
    <xf numFmtId="0" fontId="19" fillId="8" borderId="167" xfId="0" applyFont="1" applyFill="1" applyBorder="1" applyAlignment="1">
      <alignment horizontal="left" vertical="top"/>
    </xf>
    <xf numFmtId="0" fontId="19" fillId="8" borderId="108" xfId="0" applyFont="1" applyFill="1" applyBorder="1" applyAlignment="1">
      <alignment horizontal="left" vertical="top"/>
    </xf>
    <xf numFmtId="173" fontId="22" fillId="7" borderId="113" xfId="0" applyNumberFormat="1" applyFont="1" applyFill="1" applyBorder="1" applyAlignment="1">
      <alignment horizontal="center" vertical="center" wrapText="1"/>
    </xf>
    <xf numFmtId="173" fontId="22" fillId="7" borderId="114" xfId="0" applyNumberFormat="1" applyFont="1" applyFill="1" applyBorder="1" applyAlignment="1">
      <alignment horizontal="center" vertical="center" wrapText="1"/>
    </xf>
    <xf numFmtId="0" fontId="19" fillId="8" borderId="165" xfId="0" applyFont="1" applyFill="1" applyBorder="1" applyAlignment="1">
      <alignment horizontal="left" vertical="top"/>
    </xf>
    <xf numFmtId="0" fontId="19" fillId="8" borderId="117" xfId="0" applyFont="1" applyFill="1" applyBorder="1" applyAlignment="1">
      <alignment horizontal="left" vertical="top"/>
    </xf>
    <xf numFmtId="0" fontId="19" fillId="8" borderId="258" xfId="0" applyFont="1" applyFill="1" applyBorder="1" applyAlignment="1">
      <alignment horizontal="left" vertical="top"/>
    </xf>
    <xf numFmtId="0" fontId="19" fillId="8" borderId="121" xfId="0" applyFont="1" applyFill="1" applyBorder="1" applyAlignment="1">
      <alignment horizontal="left" vertical="top"/>
    </xf>
    <xf numFmtId="49" fontId="22" fillId="7" borderId="161" xfId="0" applyNumberFormat="1" applyFont="1" applyFill="1" applyBorder="1" applyAlignment="1" applyProtection="1">
      <alignment horizontal="center"/>
      <protection locked="0"/>
    </xf>
    <xf numFmtId="49" fontId="22" fillId="7" borderId="158" xfId="0" applyNumberFormat="1" applyFont="1" applyFill="1" applyBorder="1" applyAlignment="1" applyProtection="1">
      <alignment horizontal="center"/>
      <protection locked="0"/>
    </xf>
    <xf numFmtId="49" fontId="22" fillId="7" borderId="101" xfId="0" applyNumberFormat="1" applyFont="1" applyFill="1" applyBorder="1" applyAlignment="1" applyProtection="1">
      <alignment horizontal="left"/>
      <protection locked="0"/>
    </xf>
    <xf numFmtId="49" fontId="22" fillId="7" borderId="102" xfId="0" applyNumberFormat="1" applyFont="1" applyFill="1" applyBorder="1" applyAlignment="1" applyProtection="1">
      <alignment horizontal="left"/>
      <protection locked="0"/>
    </xf>
    <xf numFmtId="49" fontId="22" fillId="7" borderId="103" xfId="0" applyNumberFormat="1" applyFont="1" applyFill="1" applyBorder="1" applyAlignment="1" applyProtection="1">
      <alignment horizontal="left"/>
      <protection locked="0"/>
    </xf>
    <xf numFmtId="0" fontId="22" fillId="0" borderId="99" xfId="0" applyFont="1" applyBorder="1" applyAlignment="1">
      <alignment horizontal="center"/>
    </xf>
    <xf numFmtId="0" fontId="22" fillId="0" borderId="98" xfId="0" applyFont="1" applyBorder="1" applyAlignment="1">
      <alignment horizontal="center"/>
    </xf>
    <xf numFmtId="0" fontId="22" fillId="0" borderId="97" xfId="0" applyFont="1" applyBorder="1" applyAlignment="1">
      <alignment horizontal="center"/>
    </xf>
    <xf numFmtId="3" fontId="38" fillId="7" borderId="107" xfId="0" applyNumberFormat="1" applyFont="1" applyFill="1" applyBorder="1" applyAlignment="1">
      <alignment horizontal="center"/>
    </xf>
    <xf numFmtId="3" fontId="38" fillId="7" borderId="95" xfId="0" applyNumberFormat="1" applyFont="1" applyFill="1" applyBorder="1" applyAlignment="1">
      <alignment horizontal="center"/>
    </xf>
    <xf numFmtId="3" fontId="38" fillId="7" borderId="17" xfId="0" applyNumberFormat="1" applyFont="1" applyFill="1" applyBorder="1" applyAlignment="1">
      <alignment horizontal="center"/>
    </xf>
    <xf numFmtId="3" fontId="38" fillId="7" borderId="0" xfId="0" applyNumberFormat="1" applyFont="1" applyFill="1" applyAlignment="1">
      <alignment horizontal="center"/>
    </xf>
    <xf numFmtId="3" fontId="38" fillId="7" borderId="15" xfId="0" applyNumberFormat="1" applyFont="1" applyFill="1" applyBorder="1" applyAlignment="1">
      <alignment horizontal="center"/>
    </xf>
    <xf numFmtId="0" fontId="38" fillId="7" borderId="101" xfId="0" applyFont="1" applyFill="1" applyBorder="1" applyAlignment="1">
      <alignment horizontal="center"/>
    </xf>
    <xf numFmtId="0" fontId="38" fillId="7" borderId="102" xfId="0" applyFont="1" applyFill="1" applyBorder="1" applyAlignment="1">
      <alignment horizontal="center"/>
    </xf>
    <xf numFmtId="0" fontId="38" fillId="7" borderId="103" xfId="0" applyFont="1" applyFill="1" applyBorder="1" applyAlignment="1">
      <alignment horizontal="center"/>
    </xf>
    <xf numFmtId="181" fontId="38" fillId="0" borderId="79" xfId="1927" applyNumberFormat="1" applyFont="1" applyFill="1" applyBorder="1" applyAlignment="1">
      <alignment horizontal="center"/>
    </xf>
    <xf numFmtId="0" fontId="20" fillId="12" borderId="0" xfId="0" applyFont="1" applyFill="1" applyAlignment="1" applyProtection="1">
      <alignment horizontal="left"/>
      <protection locked="0"/>
    </xf>
    <xf numFmtId="0" fontId="20" fillId="0" borderId="0" xfId="0" applyFont="1" applyAlignment="1" applyProtection="1">
      <alignment horizontal="left"/>
      <protection locked="0"/>
    </xf>
    <xf numFmtId="166" fontId="48" fillId="0" borderId="128" xfId="0" applyNumberFormat="1" applyFont="1" applyBorder="1"/>
    <xf numFmtId="166" fontId="48" fillId="8" borderId="94" xfId="0" applyNumberFormat="1" applyFont="1" applyFill="1" applyBorder="1"/>
    <xf numFmtId="3" fontId="20" fillId="12" borderId="0" xfId="0" applyNumberFormat="1" applyFont="1" applyFill="1" applyAlignment="1">
      <alignment wrapText="1"/>
    </xf>
    <xf numFmtId="3" fontId="20" fillId="0" borderId="0" xfId="0" applyNumberFormat="1" applyFont="1" applyAlignment="1"/>
    <xf numFmtId="166" fontId="48" fillId="0" borderId="184" xfId="0" applyNumberFormat="1" applyFont="1" applyFill="1" applyBorder="1"/>
    <xf numFmtId="166" fontId="20" fillId="0" borderId="0" xfId="0" applyNumberFormat="1" applyFont="1" applyBorder="1" applyAlignment="1">
      <alignment wrapText="1"/>
    </xf>
    <xf numFmtId="166" fontId="20" fillId="0" borderId="169" xfId="0" applyNumberFormat="1" applyFont="1" applyBorder="1"/>
    <xf numFmtId="166" fontId="20" fillId="0" borderId="234" xfId="0" applyNumberFormat="1" applyFont="1" applyBorder="1"/>
    <xf numFmtId="166" fontId="20" fillId="0" borderId="111" xfId="0" applyNumberFormat="1" applyFont="1" applyBorder="1"/>
    <xf numFmtId="166" fontId="20" fillId="0" borderId="287" xfId="0" applyNumberFormat="1" applyFont="1" applyBorder="1"/>
    <xf numFmtId="166" fontId="20" fillId="0" borderId="136" xfId="0" applyNumberFormat="1" applyFont="1" applyBorder="1"/>
    <xf numFmtId="166" fontId="20" fillId="0" borderId="110" xfId="0" applyNumberFormat="1" applyFont="1" applyBorder="1"/>
    <xf numFmtId="166" fontId="48" fillId="7" borderId="131" xfId="0" applyNumberFormat="1" applyFont="1" applyFill="1" applyBorder="1" applyAlignment="1">
      <alignment vertical="center"/>
    </xf>
    <xf numFmtId="166" fontId="20" fillId="0" borderId="110" xfId="0" applyNumberFormat="1" applyFont="1" applyBorder="1" applyAlignment="1">
      <alignment vertical="center"/>
    </xf>
    <xf numFmtId="166" fontId="20" fillId="0" borderId="111" xfId="0" applyNumberFormat="1" applyFont="1" applyBorder="1" applyAlignment="1">
      <alignment wrapText="1"/>
    </xf>
    <xf numFmtId="166" fontId="20" fillId="0" borderId="112" xfId="0" applyNumberFormat="1" applyFont="1" applyBorder="1" applyAlignment="1">
      <alignment wrapText="1"/>
    </xf>
    <xf numFmtId="166" fontId="48" fillId="0" borderId="138" xfId="0" applyNumberFormat="1" applyFont="1" applyBorder="1" applyAlignment="1">
      <alignment vertical="center"/>
    </xf>
    <xf numFmtId="166" fontId="48" fillId="0" borderId="140" xfId="0" applyNumberFormat="1" applyFont="1" applyBorder="1" applyAlignment="1">
      <alignment wrapText="1"/>
    </xf>
    <xf numFmtId="166" fontId="20" fillId="0" borderId="287" xfId="0" applyNumberFormat="1" applyFont="1" applyBorder="1" applyAlignment="1">
      <alignment vertical="center"/>
    </xf>
    <xf numFmtId="166" fontId="20" fillId="0" borderId="129" xfId="0" applyNumberFormat="1" applyFont="1" applyBorder="1" applyAlignment="1">
      <alignment wrapText="1"/>
    </xf>
    <xf numFmtId="0" fontId="22" fillId="7" borderId="0" xfId="0" applyFont="1" applyFill="1" applyBorder="1" applyAlignment="1">
      <alignment horizontal="center" vertical="center"/>
    </xf>
    <xf numFmtId="9" fontId="19" fillId="8" borderId="194" xfId="0" applyNumberFormat="1" applyFont="1" applyFill="1" applyBorder="1"/>
  </cellXfs>
  <cellStyles count="1928">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Besuchter Hyperlink" xfId="172" builtinId="9" hidden="1"/>
    <cellStyle name="Besuchter Hyperlink" xfId="174" builtinId="9" hidden="1"/>
    <cellStyle name="Besuchter Hyperlink" xfId="176" builtinId="9" hidden="1"/>
    <cellStyle name="Besuchter Hyperlink" xfId="178" builtinId="9" hidden="1"/>
    <cellStyle name="Besuchter Hyperlink" xfId="180" builtinId="9" hidden="1"/>
    <cellStyle name="Besuchter Hyperlink" xfId="182" builtinId="9" hidden="1"/>
    <cellStyle name="Besuchter Hyperlink" xfId="184" builtinId="9" hidden="1"/>
    <cellStyle name="Besuchter Hyperlink" xfId="186" builtinId="9" hidden="1"/>
    <cellStyle name="Besuchter Hyperlink" xfId="188" builtinId="9" hidden="1"/>
    <cellStyle name="Besuchter Hyperlink" xfId="190" builtinId="9" hidden="1"/>
    <cellStyle name="Besuchter Hyperlink" xfId="192" builtinId="9" hidden="1"/>
    <cellStyle name="Besuchter Hyperlink" xfId="194" builtinId="9" hidden="1"/>
    <cellStyle name="Besuchter Hyperlink" xfId="196" builtinId="9" hidden="1"/>
    <cellStyle name="Besuchter Hyperlink" xfId="198" builtinId="9" hidden="1"/>
    <cellStyle name="Besuchter Hyperlink" xfId="200" builtinId="9" hidden="1"/>
    <cellStyle name="Besuchter Hyperlink" xfId="202" builtinId="9" hidden="1"/>
    <cellStyle name="Besuchter Hyperlink" xfId="204" builtinId="9" hidden="1"/>
    <cellStyle name="Besuchter Hyperlink" xfId="206"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Besuchter Hyperlink" xfId="220" builtinId="9" hidden="1"/>
    <cellStyle name="Besuchter Hyperlink" xfId="222" builtinId="9" hidden="1"/>
    <cellStyle name="Besuchter Hyperlink" xfId="224" builtinId="9" hidden="1"/>
    <cellStyle name="Besuchter Hyperlink" xfId="226" builtinId="9" hidden="1"/>
    <cellStyle name="Besuchter Hyperlink" xfId="228" builtinId="9" hidden="1"/>
    <cellStyle name="Besuchter Hyperlink" xfId="230" builtinId="9" hidden="1"/>
    <cellStyle name="Besuchter Hyperlink" xfId="232" builtinId="9" hidden="1"/>
    <cellStyle name="Besuchter Hyperlink" xfId="234" builtinId="9" hidden="1"/>
    <cellStyle name="Besuchter Hyperlink" xfId="236" builtinId="9" hidden="1"/>
    <cellStyle name="Besuchter Hyperlink" xfId="238" builtinId="9" hidden="1"/>
    <cellStyle name="Besuchter Hyperlink" xfId="240" builtinId="9" hidden="1"/>
    <cellStyle name="Besuchter Hyperlink" xfId="242" builtinId="9" hidden="1"/>
    <cellStyle name="Besuchter Hyperlink" xfId="244" builtinId="9" hidden="1"/>
    <cellStyle name="Besuchter Hyperlink" xfId="246" builtinId="9" hidden="1"/>
    <cellStyle name="Besuchter Hyperlink" xfId="248" builtinId="9" hidden="1"/>
    <cellStyle name="Besuchter Hyperlink" xfId="250" builtinId="9" hidden="1"/>
    <cellStyle name="Besuchter Hyperlink" xfId="252" builtinId="9" hidden="1"/>
    <cellStyle name="Besuchter Hyperlink" xfId="254" builtinId="9" hidden="1"/>
    <cellStyle name="Besuchter Hyperlink" xfId="256" builtinId="9" hidden="1"/>
    <cellStyle name="Besuchter Hyperlink" xfId="258" builtinId="9" hidden="1"/>
    <cellStyle name="Besuchter Hyperlink" xfId="260" builtinId="9" hidden="1"/>
    <cellStyle name="Besuchter Hyperlink" xfId="262" builtinId="9" hidden="1"/>
    <cellStyle name="Besuchter Hyperlink" xfId="264" builtinId="9" hidden="1"/>
    <cellStyle name="Besuchter Hyperlink" xfId="266" builtinId="9" hidden="1"/>
    <cellStyle name="Besuchter Hyperlink" xfId="268" builtinId="9" hidden="1"/>
    <cellStyle name="Besuchter Hyperlink" xfId="270" builtinId="9" hidden="1"/>
    <cellStyle name="Besuchter Hyperlink" xfId="272" builtinId="9" hidden="1"/>
    <cellStyle name="Besuchter Hyperlink" xfId="274" builtinId="9" hidden="1"/>
    <cellStyle name="Besuchter Hyperlink" xfId="276" builtinId="9" hidden="1"/>
    <cellStyle name="Besuchter Hyperlink" xfId="278" builtinId="9" hidden="1"/>
    <cellStyle name="Besuchter Hyperlink" xfId="280" builtinId="9" hidden="1"/>
    <cellStyle name="Besuchter Hyperlink" xfId="282" builtinId="9" hidden="1"/>
    <cellStyle name="Besuchter Hyperlink" xfId="284" builtinId="9" hidden="1"/>
    <cellStyle name="Besuchter Hyperlink" xfId="286" builtinId="9" hidden="1"/>
    <cellStyle name="Besuchter Hyperlink" xfId="288" builtinId="9" hidden="1"/>
    <cellStyle name="Besuchter Hyperlink" xfId="290" builtinId="9" hidden="1"/>
    <cellStyle name="Besuchter Hyperlink" xfId="292" builtinId="9" hidden="1"/>
    <cellStyle name="Besuchter Hyperlink" xfId="294" builtinId="9" hidden="1"/>
    <cellStyle name="Besuchter Hyperlink" xfId="296" builtinId="9" hidden="1"/>
    <cellStyle name="Besuchter Hyperlink" xfId="298" builtinId="9" hidden="1"/>
    <cellStyle name="Besuchter Hyperlink" xfId="300" builtinId="9" hidden="1"/>
    <cellStyle name="Besuchter Hyperlink" xfId="302" builtinId="9" hidden="1"/>
    <cellStyle name="Besuchter Hyperlink" xfId="304" builtinId="9" hidden="1"/>
    <cellStyle name="Besuchter Hyperlink" xfId="306" builtinId="9" hidden="1"/>
    <cellStyle name="Besuchter Hyperlink" xfId="308" builtinId="9" hidden="1"/>
    <cellStyle name="Besuchter Hyperlink" xfId="310" builtinId="9" hidden="1"/>
    <cellStyle name="Besuchter Hyperlink" xfId="312" builtinId="9" hidden="1"/>
    <cellStyle name="Besuchter Hyperlink" xfId="314" builtinId="9" hidden="1"/>
    <cellStyle name="Besuchter Hyperlink" xfId="316" builtinId="9" hidden="1"/>
    <cellStyle name="Besuchter Hyperlink" xfId="318" builtinId="9" hidden="1"/>
    <cellStyle name="Besuchter Hyperlink" xfId="320" builtinId="9" hidden="1"/>
    <cellStyle name="Besuchter Hyperlink" xfId="322" builtinId="9" hidden="1"/>
    <cellStyle name="Besuchter Hyperlink" xfId="324" builtinId="9" hidden="1"/>
    <cellStyle name="Besuchter Hyperlink" xfId="326" builtinId="9" hidden="1"/>
    <cellStyle name="Besuchter Hyperlink" xfId="328" builtinId="9" hidden="1"/>
    <cellStyle name="Besuchter Hyperlink" xfId="330" builtinId="9" hidden="1"/>
    <cellStyle name="Besuchter Hyperlink" xfId="332" builtinId="9" hidden="1"/>
    <cellStyle name="Besuchter Hyperlink" xfId="334" builtinId="9" hidden="1"/>
    <cellStyle name="Besuchter Hyperlink" xfId="336" builtinId="9" hidden="1"/>
    <cellStyle name="Besuchter Hyperlink" xfId="338" builtinId="9" hidden="1"/>
    <cellStyle name="Besuchter Hyperlink" xfId="340" builtinId="9" hidden="1"/>
    <cellStyle name="Besuchter Hyperlink" xfId="342" builtinId="9" hidden="1"/>
    <cellStyle name="Besuchter Hyperlink" xfId="344" builtinId="9" hidden="1"/>
    <cellStyle name="Besuchter Hyperlink" xfId="346" builtinId="9" hidden="1"/>
    <cellStyle name="Besuchter Hyperlink" xfId="348" builtinId="9" hidden="1"/>
    <cellStyle name="Besuchter Hyperlink" xfId="350" builtinId="9" hidden="1"/>
    <cellStyle name="Besuchter Hyperlink" xfId="352" builtinId="9" hidden="1"/>
    <cellStyle name="Besuchter Hyperlink" xfId="354" builtinId="9" hidden="1"/>
    <cellStyle name="Besuchter Hyperlink" xfId="356" builtinId="9" hidden="1"/>
    <cellStyle name="Besuchter Hyperlink" xfId="358" builtinId="9" hidden="1"/>
    <cellStyle name="Besuchter Hyperlink" xfId="360" builtinId="9" hidden="1"/>
    <cellStyle name="Besuchter Hyperlink" xfId="362" builtinId="9" hidden="1"/>
    <cellStyle name="Besuchter Hyperlink" xfId="364" builtinId="9" hidden="1"/>
    <cellStyle name="Besuchter Hyperlink" xfId="366" builtinId="9" hidden="1"/>
    <cellStyle name="Besuchter Hyperlink" xfId="368" builtinId="9" hidden="1"/>
    <cellStyle name="Besuchter Hyperlink" xfId="370" builtinId="9" hidden="1"/>
    <cellStyle name="Besuchter Hyperlink" xfId="372" builtinId="9" hidden="1"/>
    <cellStyle name="Besuchter Hyperlink" xfId="374" builtinId="9" hidden="1"/>
    <cellStyle name="Besuchter Hyperlink" xfId="376" builtinId="9" hidden="1"/>
    <cellStyle name="Besuchter Hyperlink" xfId="378" builtinId="9" hidden="1"/>
    <cellStyle name="Besuchter Hyperlink" xfId="380" builtinId="9" hidden="1"/>
    <cellStyle name="Besuchter Hyperlink" xfId="382" builtinId="9" hidden="1"/>
    <cellStyle name="Besuchter Hyperlink" xfId="384" builtinId="9" hidden="1"/>
    <cellStyle name="Besuchter Hyperlink" xfId="386" builtinId="9" hidden="1"/>
    <cellStyle name="Besuchter Hyperlink" xfId="388" builtinId="9" hidden="1"/>
    <cellStyle name="Besuchter Hyperlink" xfId="390" builtinId="9" hidden="1"/>
    <cellStyle name="Besuchter Hyperlink" xfId="392" builtinId="9" hidden="1"/>
    <cellStyle name="Besuchter Hyperlink" xfId="394" builtinId="9" hidden="1"/>
    <cellStyle name="Besuchter Hyperlink" xfId="396" builtinId="9" hidden="1"/>
    <cellStyle name="Besuchter Hyperlink" xfId="398" builtinId="9" hidden="1"/>
    <cellStyle name="Besuchter Hyperlink" xfId="400" builtinId="9" hidden="1"/>
    <cellStyle name="Besuchter Hyperlink" xfId="402" builtinId="9" hidden="1"/>
    <cellStyle name="Besuchter Hyperlink" xfId="404" builtinId="9" hidden="1"/>
    <cellStyle name="Besuchter Hyperlink" xfId="406" builtinId="9" hidden="1"/>
    <cellStyle name="Besuchter Hyperlink" xfId="408" builtinId="9" hidden="1"/>
    <cellStyle name="Besuchter Hyperlink" xfId="410" builtinId="9" hidden="1"/>
    <cellStyle name="Besuchter Hyperlink" xfId="412" builtinId="9" hidden="1"/>
    <cellStyle name="Besuchter Hyperlink" xfId="414" builtinId="9" hidden="1"/>
    <cellStyle name="Besuchter Hyperlink" xfId="416" builtinId="9" hidden="1"/>
    <cellStyle name="Besuchter Hyperlink" xfId="418" builtinId="9" hidden="1"/>
    <cellStyle name="Besuchter Hyperlink" xfId="420" builtinId="9" hidden="1"/>
    <cellStyle name="Besuchter Hyperlink" xfId="422" builtinId="9" hidden="1"/>
    <cellStyle name="Besuchter Hyperlink" xfId="424" builtinId="9" hidden="1"/>
    <cellStyle name="Besuchter Hyperlink" xfId="426" builtinId="9" hidden="1"/>
    <cellStyle name="Besuchter Hyperlink" xfId="428" builtinId="9" hidden="1"/>
    <cellStyle name="Besuchter Hyperlink" xfId="430" builtinId="9" hidden="1"/>
    <cellStyle name="Besuchter Hyperlink" xfId="432" builtinId="9" hidden="1"/>
    <cellStyle name="Besuchter Hyperlink" xfId="434" builtinId="9" hidden="1"/>
    <cellStyle name="Besuchter Hyperlink" xfId="436" builtinId="9" hidden="1"/>
    <cellStyle name="Besuchter Hyperlink" xfId="438" builtinId="9" hidden="1"/>
    <cellStyle name="Besuchter Hyperlink" xfId="440" builtinId="9" hidden="1"/>
    <cellStyle name="Besuchter Hyperlink" xfId="442" builtinId="9" hidden="1"/>
    <cellStyle name="Besuchter Hyperlink" xfId="444" builtinId="9" hidden="1"/>
    <cellStyle name="Besuchter Hyperlink" xfId="446" builtinId="9" hidden="1"/>
    <cellStyle name="Besuchter Hyperlink" xfId="448" builtinId="9" hidden="1"/>
    <cellStyle name="Besuchter Hyperlink" xfId="450" builtinId="9" hidden="1"/>
    <cellStyle name="Besuchter Hyperlink" xfId="452" builtinId="9" hidden="1"/>
    <cellStyle name="Besuchter Hyperlink" xfId="454" builtinId="9" hidden="1"/>
    <cellStyle name="Besuchter Hyperlink" xfId="456" builtinId="9" hidden="1"/>
    <cellStyle name="Besuchter Hyperlink" xfId="458" builtinId="9" hidden="1"/>
    <cellStyle name="Besuchter Hyperlink" xfId="460" builtinId="9" hidden="1"/>
    <cellStyle name="Besuchter Hyperlink" xfId="462" builtinId="9" hidden="1"/>
    <cellStyle name="Besuchter Hyperlink" xfId="464" builtinId="9" hidden="1"/>
    <cellStyle name="Besuchter Hyperlink" xfId="466" builtinId="9" hidden="1"/>
    <cellStyle name="Besuchter Hyperlink" xfId="468" builtinId="9" hidden="1"/>
    <cellStyle name="Besuchter Hyperlink" xfId="470" builtinId="9" hidden="1"/>
    <cellStyle name="Besuchter Hyperlink" xfId="472" builtinId="9" hidden="1"/>
    <cellStyle name="Besuchter Hyperlink" xfId="474" builtinId="9" hidden="1"/>
    <cellStyle name="Besuchter Hyperlink" xfId="476" builtinId="9" hidden="1"/>
    <cellStyle name="Besuchter Hyperlink" xfId="478" builtinId="9" hidden="1"/>
    <cellStyle name="Besuchter Hyperlink" xfId="480" builtinId="9" hidden="1"/>
    <cellStyle name="Besuchter Hyperlink" xfId="482" builtinId="9" hidden="1"/>
    <cellStyle name="Besuchter Hyperlink" xfId="484" builtinId="9" hidden="1"/>
    <cellStyle name="Besuchter Hyperlink" xfId="486" builtinId="9" hidden="1"/>
    <cellStyle name="Besuchter Hyperlink" xfId="488" builtinId="9" hidden="1"/>
    <cellStyle name="Besuchter Hyperlink" xfId="490" builtinId="9" hidden="1"/>
    <cellStyle name="Besuchter Hyperlink" xfId="492" builtinId="9" hidden="1"/>
    <cellStyle name="Besuchter Hyperlink" xfId="494" builtinId="9" hidden="1"/>
    <cellStyle name="Besuchter Hyperlink" xfId="496" builtinId="9" hidden="1"/>
    <cellStyle name="Besuchter Hyperlink" xfId="498" builtinId="9" hidden="1"/>
    <cellStyle name="Besuchter Hyperlink" xfId="500" builtinId="9" hidden="1"/>
    <cellStyle name="Besuchter Hyperlink" xfId="502" builtinId="9" hidden="1"/>
    <cellStyle name="Besuchter Hyperlink" xfId="504" builtinId="9" hidden="1"/>
    <cellStyle name="Besuchter Hyperlink" xfId="506" builtinId="9" hidden="1"/>
    <cellStyle name="Besuchter Hyperlink" xfId="508" builtinId="9" hidden="1"/>
    <cellStyle name="Besuchter Hyperlink" xfId="510" builtinId="9" hidden="1"/>
    <cellStyle name="Besuchter Hyperlink" xfId="512" builtinId="9" hidden="1"/>
    <cellStyle name="Besuchter Hyperlink" xfId="514" builtinId="9" hidden="1"/>
    <cellStyle name="Besuchter Hyperlink" xfId="516" builtinId="9" hidden="1"/>
    <cellStyle name="Besuchter Hyperlink" xfId="518" builtinId="9" hidden="1"/>
    <cellStyle name="Besuchter Hyperlink" xfId="520" builtinId="9" hidden="1"/>
    <cellStyle name="Besuchter Hyperlink" xfId="522" builtinId="9" hidden="1"/>
    <cellStyle name="Besuchter Hyperlink" xfId="524" builtinId="9" hidden="1"/>
    <cellStyle name="Besuchter Hyperlink" xfId="526" builtinId="9" hidden="1"/>
    <cellStyle name="Besuchter Hyperlink" xfId="528" builtinId="9" hidden="1"/>
    <cellStyle name="Besuchter Hyperlink" xfId="530" builtinId="9" hidden="1"/>
    <cellStyle name="Besuchter Hyperlink" xfId="532" builtinId="9" hidden="1"/>
    <cellStyle name="Besuchter Hyperlink" xfId="534" builtinId="9" hidden="1"/>
    <cellStyle name="Besuchter Hyperlink" xfId="536" builtinId="9" hidden="1"/>
    <cellStyle name="Besuchter Hyperlink" xfId="538" builtinId="9" hidden="1"/>
    <cellStyle name="Besuchter Hyperlink" xfId="540" builtinId="9" hidden="1"/>
    <cellStyle name="Besuchter Hyperlink" xfId="542" builtinId="9" hidden="1"/>
    <cellStyle name="Besuchter Hyperlink" xfId="544" builtinId="9" hidden="1"/>
    <cellStyle name="Besuchter Hyperlink" xfId="546" builtinId="9" hidden="1"/>
    <cellStyle name="Besuchter Hyperlink" xfId="548" builtinId="9" hidden="1"/>
    <cellStyle name="Besuchter Hyperlink" xfId="550" builtinId="9" hidden="1"/>
    <cellStyle name="Besuchter Hyperlink" xfId="552" builtinId="9" hidden="1"/>
    <cellStyle name="Besuchter Hyperlink" xfId="554" builtinId="9" hidden="1"/>
    <cellStyle name="Besuchter Hyperlink" xfId="556" builtinId="9" hidden="1"/>
    <cellStyle name="Besuchter Hyperlink" xfId="558" builtinId="9" hidden="1"/>
    <cellStyle name="Besuchter Hyperlink" xfId="560" builtinId="9" hidden="1"/>
    <cellStyle name="Besuchter Hyperlink" xfId="562" builtinId="9" hidden="1"/>
    <cellStyle name="Besuchter Hyperlink" xfId="564" builtinId="9" hidden="1"/>
    <cellStyle name="Besuchter Hyperlink" xfId="566" builtinId="9" hidden="1"/>
    <cellStyle name="Besuchter Hyperlink" xfId="568" builtinId="9" hidden="1"/>
    <cellStyle name="Besuchter Hyperlink" xfId="570" builtinId="9" hidden="1"/>
    <cellStyle name="Besuchter Hyperlink" xfId="572" builtinId="9" hidden="1"/>
    <cellStyle name="Besuchter Hyperlink" xfId="574" builtinId="9" hidden="1"/>
    <cellStyle name="Besuchter Hyperlink" xfId="576" builtinId="9" hidden="1"/>
    <cellStyle name="Besuchter Hyperlink" xfId="578" builtinId="9" hidden="1"/>
    <cellStyle name="Besuchter Hyperlink" xfId="580" builtinId="9" hidden="1"/>
    <cellStyle name="Besuchter Hyperlink" xfId="582" builtinId="9" hidden="1"/>
    <cellStyle name="Besuchter Hyperlink" xfId="584" builtinId="9" hidden="1"/>
    <cellStyle name="Besuchter Hyperlink" xfId="586" builtinId="9" hidden="1"/>
    <cellStyle name="Besuchter Hyperlink" xfId="588" builtinId="9" hidden="1"/>
    <cellStyle name="Besuchter Hyperlink" xfId="590" builtinId="9" hidden="1"/>
    <cellStyle name="Besuchter Hyperlink" xfId="592" builtinId="9" hidden="1"/>
    <cellStyle name="Besuchter Hyperlink" xfId="594" builtinId="9" hidden="1"/>
    <cellStyle name="Besuchter Hyperlink" xfId="596" builtinId="9" hidden="1"/>
    <cellStyle name="Besuchter Hyperlink" xfId="598" builtinId="9" hidden="1"/>
    <cellStyle name="Besuchter Hyperlink" xfId="600" builtinId="9" hidden="1"/>
    <cellStyle name="Besuchter Hyperlink" xfId="602" builtinId="9" hidden="1"/>
    <cellStyle name="Besuchter Hyperlink" xfId="604" builtinId="9" hidden="1"/>
    <cellStyle name="Besuchter Hyperlink" xfId="606" builtinId="9" hidden="1"/>
    <cellStyle name="Besuchter Hyperlink" xfId="608" builtinId="9" hidden="1"/>
    <cellStyle name="Besuchter Hyperlink" xfId="610" builtinId="9" hidden="1"/>
    <cellStyle name="Besuchter Hyperlink" xfId="612" builtinId="9" hidden="1"/>
    <cellStyle name="Besuchter Hyperlink" xfId="614" builtinId="9" hidden="1"/>
    <cellStyle name="Besuchter Hyperlink" xfId="616" builtinId="9" hidden="1"/>
    <cellStyle name="Besuchter Hyperlink" xfId="618" builtinId="9" hidden="1"/>
    <cellStyle name="Besuchter Hyperlink" xfId="620" builtinId="9" hidden="1"/>
    <cellStyle name="Besuchter Hyperlink" xfId="622" builtinId="9" hidden="1"/>
    <cellStyle name="Besuchter Hyperlink" xfId="624" builtinId="9" hidden="1"/>
    <cellStyle name="Besuchter Hyperlink" xfId="626" builtinId="9" hidden="1"/>
    <cellStyle name="Besuchter Hyperlink" xfId="628" builtinId="9" hidden="1"/>
    <cellStyle name="Besuchter Hyperlink" xfId="630" builtinId="9" hidden="1"/>
    <cellStyle name="Besuchter Hyperlink" xfId="632" builtinId="9" hidden="1"/>
    <cellStyle name="Besuchter Hyperlink" xfId="634" builtinId="9" hidden="1"/>
    <cellStyle name="Besuchter Hyperlink" xfId="636" builtinId="9" hidden="1"/>
    <cellStyle name="Besuchter Hyperlink" xfId="638" builtinId="9" hidden="1"/>
    <cellStyle name="Besuchter Hyperlink" xfId="640" builtinId="9" hidden="1"/>
    <cellStyle name="Besuchter Hyperlink" xfId="642" builtinId="9" hidden="1"/>
    <cellStyle name="Besuchter Hyperlink" xfId="644" builtinId="9" hidden="1"/>
    <cellStyle name="Besuchter Hyperlink" xfId="646" builtinId="9" hidden="1"/>
    <cellStyle name="Besuchter Hyperlink" xfId="648" builtinId="9" hidden="1"/>
    <cellStyle name="Besuchter Hyperlink" xfId="650" builtinId="9" hidden="1"/>
    <cellStyle name="Besuchter Hyperlink" xfId="652" builtinId="9" hidden="1"/>
    <cellStyle name="Besuchter Hyperlink" xfId="654" builtinId="9" hidden="1"/>
    <cellStyle name="Besuchter Hyperlink" xfId="656" builtinId="9" hidden="1"/>
    <cellStyle name="Besuchter Hyperlink" xfId="658" builtinId="9" hidden="1"/>
    <cellStyle name="Besuchter Hyperlink" xfId="660" builtinId="9" hidden="1"/>
    <cellStyle name="Besuchter Hyperlink" xfId="662" builtinId="9" hidden="1"/>
    <cellStyle name="Besuchter Hyperlink" xfId="664" builtinId="9" hidden="1"/>
    <cellStyle name="Besuchter Hyperlink" xfId="666" builtinId="9" hidden="1"/>
    <cellStyle name="Besuchter Hyperlink" xfId="668" builtinId="9" hidden="1"/>
    <cellStyle name="Besuchter Hyperlink" xfId="670" builtinId="9" hidden="1"/>
    <cellStyle name="Besuchter Hyperlink" xfId="672" builtinId="9" hidden="1"/>
    <cellStyle name="Besuchter Hyperlink" xfId="674" builtinId="9" hidden="1"/>
    <cellStyle name="Besuchter Hyperlink" xfId="676" builtinId="9" hidden="1"/>
    <cellStyle name="Besuchter Hyperlink" xfId="678" builtinId="9" hidden="1"/>
    <cellStyle name="Besuchter Hyperlink" xfId="680" builtinId="9" hidden="1"/>
    <cellStyle name="Besuchter Hyperlink" xfId="682" builtinId="9" hidden="1"/>
    <cellStyle name="Besuchter Hyperlink" xfId="684" builtinId="9" hidden="1"/>
    <cellStyle name="Besuchter Hyperlink" xfId="686" builtinId="9" hidden="1"/>
    <cellStyle name="Besuchter Hyperlink" xfId="688" builtinId="9" hidden="1"/>
    <cellStyle name="Besuchter Hyperlink" xfId="690" builtinId="9" hidden="1"/>
    <cellStyle name="Besuchter Hyperlink" xfId="692" builtinId="9" hidden="1"/>
    <cellStyle name="Besuchter Hyperlink" xfId="694" builtinId="9" hidden="1"/>
    <cellStyle name="Besuchter Hyperlink" xfId="696" builtinId="9" hidden="1"/>
    <cellStyle name="Besuchter Hyperlink" xfId="698" builtinId="9" hidden="1"/>
    <cellStyle name="Besuchter Hyperlink" xfId="700" builtinId="9" hidden="1"/>
    <cellStyle name="Besuchter Hyperlink" xfId="702" builtinId="9" hidden="1"/>
    <cellStyle name="Besuchter Hyperlink" xfId="704" builtinId="9" hidden="1"/>
    <cellStyle name="Besuchter Hyperlink" xfId="706" builtinId="9" hidden="1"/>
    <cellStyle name="Besuchter Hyperlink" xfId="708" builtinId="9" hidden="1"/>
    <cellStyle name="Besuchter Hyperlink" xfId="710" builtinId="9" hidden="1"/>
    <cellStyle name="Besuchter Hyperlink" xfId="712" builtinId="9" hidden="1"/>
    <cellStyle name="Besuchter Hyperlink" xfId="714" builtinId="9" hidden="1"/>
    <cellStyle name="Besuchter Hyperlink" xfId="716" builtinId="9" hidden="1"/>
    <cellStyle name="Besuchter Hyperlink" xfId="718" builtinId="9" hidden="1"/>
    <cellStyle name="Besuchter Hyperlink" xfId="720" builtinId="9" hidden="1"/>
    <cellStyle name="Besuchter Hyperlink" xfId="722" builtinId="9" hidden="1"/>
    <cellStyle name="Besuchter Hyperlink" xfId="724" builtinId="9" hidden="1"/>
    <cellStyle name="Besuchter Hyperlink" xfId="726" builtinId="9" hidden="1"/>
    <cellStyle name="Besuchter Hyperlink" xfId="728" builtinId="9" hidden="1"/>
    <cellStyle name="Besuchter Hyperlink" xfId="730" builtinId="9" hidden="1"/>
    <cellStyle name="Besuchter Hyperlink" xfId="732" builtinId="9" hidden="1"/>
    <cellStyle name="Besuchter Hyperlink" xfId="734" builtinId="9" hidden="1"/>
    <cellStyle name="Besuchter Hyperlink" xfId="736" builtinId="9" hidden="1"/>
    <cellStyle name="Besuchter Hyperlink" xfId="738" builtinId="9" hidden="1"/>
    <cellStyle name="Besuchter Hyperlink" xfId="740" builtinId="9" hidden="1"/>
    <cellStyle name="Besuchter Hyperlink" xfId="742" builtinId="9" hidden="1"/>
    <cellStyle name="Besuchter Hyperlink" xfId="744" builtinId="9" hidden="1"/>
    <cellStyle name="Besuchter Hyperlink" xfId="746" builtinId="9" hidden="1"/>
    <cellStyle name="Besuchter Hyperlink" xfId="748" builtinId="9" hidden="1"/>
    <cellStyle name="Besuchter Hyperlink" xfId="750" builtinId="9" hidden="1"/>
    <cellStyle name="Besuchter Hyperlink" xfId="752" builtinId="9" hidden="1"/>
    <cellStyle name="Besuchter Hyperlink" xfId="754" builtinId="9" hidden="1"/>
    <cellStyle name="Besuchter Hyperlink" xfId="756" builtinId="9" hidden="1"/>
    <cellStyle name="Besuchter Hyperlink" xfId="758" builtinId="9" hidden="1"/>
    <cellStyle name="Besuchter Hyperlink" xfId="760" builtinId="9" hidden="1"/>
    <cellStyle name="Besuchter Hyperlink" xfId="762" builtinId="9" hidden="1"/>
    <cellStyle name="Besuchter Hyperlink" xfId="764" builtinId="9" hidden="1"/>
    <cellStyle name="Besuchter Hyperlink" xfId="766" builtinId="9" hidden="1"/>
    <cellStyle name="Besuchter Hyperlink" xfId="768" builtinId="9" hidden="1"/>
    <cellStyle name="Besuchter Hyperlink" xfId="770" builtinId="9" hidden="1"/>
    <cellStyle name="Besuchter Hyperlink" xfId="772" builtinId="9" hidden="1"/>
    <cellStyle name="Besuchter Hyperlink" xfId="774" builtinId="9" hidden="1"/>
    <cellStyle name="Besuchter Hyperlink" xfId="776" builtinId="9" hidden="1"/>
    <cellStyle name="Besuchter Hyperlink" xfId="778" builtinId="9" hidden="1"/>
    <cellStyle name="Besuchter Hyperlink" xfId="780" builtinId="9" hidden="1"/>
    <cellStyle name="Besuchter Hyperlink" xfId="782" builtinId="9" hidden="1"/>
    <cellStyle name="Besuchter Hyperlink" xfId="784" builtinId="9" hidden="1"/>
    <cellStyle name="Besuchter Hyperlink" xfId="786" builtinId="9" hidden="1"/>
    <cellStyle name="Besuchter Hyperlink" xfId="788" builtinId="9" hidden="1"/>
    <cellStyle name="Besuchter Hyperlink" xfId="790" builtinId="9" hidden="1"/>
    <cellStyle name="Besuchter Hyperlink" xfId="792" builtinId="9" hidden="1"/>
    <cellStyle name="Besuchter Hyperlink" xfId="794" builtinId="9" hidden="1"/>
    <cellStyle name="Besuchter Hyperlink" xfId="796" builtinId="9" hidden="1"/>
    <cellStyle name="Besuchter Hyperlink" xfId="798" builtinId="9" hidden="1"/>
    <cellStyle name="Besuchter Hyperlink" xfId="800" builtinId="9" hidden="1"/>
    <cellStyle name="Besuchter Hyperlink" xfId="802" builtinId="9" hidden="1"/>
    <cellStyle name="Besuchter Hyperlink" xfId="804" builtinId="9" hidden="1"/>
    <cellStyle name="Besuchter Hyperlink" xfId="806" builtinId="9" hidden="1"/>
    <cellStyle name="Besuchter Hyperlink" xfId="808" builtinId="9" hidden="1"/>
    <cellStyle name="Besuchter Hyperlink" xfId="810" builtinId="9" hidden="1"/>
    <cellStyle name="Besuchter Hyperlink" xfId="812" builtinId="9" hidden="1"/>
    <cellStyle name="Besuchter Hyperlink" xfId="814" builtinId="9" hidden="1"/>
    <cellStyle name="Besuchter Hyperlink" xfId="816" builtinId="9" hidden="1"/>
    <cellStyle name="Besuchter Hyperlink" xfId="818" builtinId="9" hidden="1"/>
    <cellStyle name="Besuchter Hyperlink" xfId="820" builtinId="9" hidden="1"/>
    <cellStyle name="Besuchter Hyperlink" xfId="822" builtinId="9" hidden="1"/>
    <cellStyle name="Besuchter Hyperlink" xfId="824" builtinId="9" hidden="1"/>
    <cellStyle name="Besuchter Hyperlink" xfId="826" builtinId="9" hidden="1"/>
    <cellStyle name="Besuchter Hyperlink" xfId="828" builtinId="9" hidden="1"/>
    <cellStyle name="Besuchter Hyperlink" xfId="830" builtinId="9" hidden="1"/>
    <cellStyle name="Besuchter Hyperlink" xfId="832" builtinId="9" hidden="1"/>
    <cellStyle name="Besuchter Hyperlink" xfId="834" builtinId="9" hidden="1"/>
    <cellStyle name="Besuchter Hyperlink" xfId="836" builtinId="9" hidden="1"/>
    <cellStyle name="Besuchter Hyperlink" xfId="838" builtinId="9" hidden="1"/>
    <cellStyle name="Besuchter Hyperlink" xfId="840" builtinId="9" hidden="1"/>
    <cellStyle name="Besuchter Hyperlink" xfId="842" builtinId="9" hidden="1"/>
    <cellStyle name="Besuchter Hyperlink" xfId="844" builtinId="9" hidden="1"/>
    <cellStyle name="Besuchter Hyperlink" xfId="846" builtinId="9" hidden="1"/>
    <cellStyle name="Besuchter Hyperlink" xfId="848" builtinId="9" hidden="1"/>
    <cellStyle name="Besuchter Hyperlink" xfId="850" builtinId="9" hidden="1"/>
    <cellStyle name="Besuchter Hyperlink" xfId="852" builtinId="9" hidden="1"/>
    <cellStyle name="Besuchter Hyperlink" xfId="854" builtinId="9" hidden="1"/>
    <cellStyle name="Besuchter Hyperlink" xfId="856" builtinId="9" hidden="1"/>
    <cellStyle name="Besuchter Hyperlink" xfId="858" builtinId="9" hidden="1"/>
    <cellStyle name="Besuchter Hyperlink" xfId="860" builtinId="9" hidden="1"/>
    <cellStyle name="Besuchter Hyperlink" xfId="862" builtinId="9" hidden="1"/>
    <cellStyle name="Besuchter Hyperlink" xfId="864" builtinId="9" hidden="1"/>
    <cellStyle name="Besuchter Hyperlink" xfId="866" builtinId="9" hidden="1"/>
    <cellStyle name="Besuchter Hyperlink" xfId="868" builtinId="9" hidden="1"/>
    <cellStyle name="Besuchter Hyperlink" xfId="870" builtinId="9" hidden="1"/>
    <cellStyle name="Besuchter Hyperlink" xfId="872" builtinId="9" hidden="1"/>
    <cellStyle name="Besuchter Hyperlink" xfId="874" builtinId="9" hidden="1"/>
    <cellStyle name="Besuchter Hyperlink" xfId="876" builtinId="9" hidden="1"/>
    <cellStyle name="Besuchter Hyperlink" xfId="878" builtinId="9" hidden="1"/>
    <cellStyle name="Besuchter Hyperlink" xfId="880" builtinId="9" hidden="1"/>
    <cellStyle name="Besuchter Hyperlink" xfId="882" builtinId="9" hidden="1"/>
    <cellStyle name="Besuchter Hyperlink" xfId="884" builtinId="9" hidden="1"/>
    <cellStyle name="Besuchter Hyperlink" xfId="886" builtinId="9" hidden="1"/>
    <cellStyle name="Besuchter Hyperlink" xfId="888" builtinId="9" hidden="1"/>
    <cellStyle name="Besuchter Hyperlink" xfId="890" builtinId="9" hidden="1"/>
    <cellStyle name="Besuchter Hyperlink" xfId="892" builtinId="9" hidden="1"/>
    <cellStyle name="Besuchter Hyperlink" xfId="894" builtinId="9" hidden="1"/>
    <cellStyle name="Besuchter Hyperlink" xfId="896" builtinId="9" hidden="1"/>
    <cellStyle name="Besuchter Hyperlink" xfId="898" builtinId="9" hidden="1"/>
    <cellStyle name="Besuchter Hyperlink" xfId="900" builtinId="9" hidden="1"/>
    <cellStyle name="Besuchter Hyperlink" xfId="902" builtinId="9" hidden="1"/>
    <cellStyle name="Besuchter Hyperlink" xfId="904" builtinId="9" hidden="1"/>
    <cellStyle name="Besuchter Hyperlink" xfId="906" builtinId="9" hidden="1"/>
    <cellStyle name="Besuchter Hyperlink" xfId="908" builtinId="9" hidden="1"/>
    <cellStyle name="Besuchter Hyperlink" xfId="910" builtinId="9" hidden="1"/>
    <cellStyle name="Besuchter Hyperlink" xfId="912" builtinId="9" hidden="1"/>
    <cellStyle name="Besuchter Hyperlink" xfId="914" builtinId="9" hidden="1"/>
    <cellStyle name="Besuchter Hyperlink" xfId="916" builtinId="9" hidden="1"/>
    <cellStyle name="Besuchter Hyperlink" xfId="918" builtinId="9" hidden="1"/>
    <cellStyle name="Besuchter Hyperlink" xfId="920" builtinId="9" hidden="1"/>
    <cellStyle name="Besuchter Hyperlink" xfId="922" builtinId="9" hidden="1"/>
    <cellStyle name="Besuchter Hyperlink" xfId="924" builtinId="9" hidden="1"/>
    <cellStyle name="Besuchter Hyperlink" xfId="926" builtinId="9" hidden="1"/>
    <cellStyle name="Besuchter Hyperlink" xfId="928" builtinId="9" hidden="1"/>
    <cellStyle name="Besuchter Hyperlink" xfId="930" builtinId="9" hidden="1"/>
    <cellStyle name="Besuchter Hyperlink" xfId="932" builtinId="9" hidden="1"/>
    <cellStyle name="Besuchter Hyperlink" xfId="934" builtinId="9" hidden="1"/>
    <cellStyle name="Besuchter Hyperlink" xfId="936" builtinId="9" hidden="1"/>
    <cellStyle name="Besuchter Hyperlink" xfId="938" builtinId="9" hidden="1"/>
    <cellStyle name="Besuchter Hyperlink" xfId="940" builtinId="9" hidden="1"/>
    <cellStyle name="Besuchter Hyperlink" xfId="942" builtinId="9" hidden="1"/>
    <cellStyle name="Besuchter Hyperlink" xfId="944" builtinId="9" hidden="1"/>
    <cellStyle name="Besuchter Hyperlink" xfId="946" builtinId="9" hidden="1"/>
    <cellStyle name="Besuchter Hyperlink" xfId="948" builtinId="9" hidden="1"/>
    <cellStyle name="Besuchter Hyperlink" xfId="950" builtinId="9" hidden="1"/>
    <cellStyle name="Besuchter Hyperlink" xfId="952" builtinId="9" hidden="1"/>
    <cellStyle name="Besuchter Hyperlink" xfId="954" builtinId="9" hidden="1"/>
    <cellStyle name="Besuchter Hyperlink" xfId="956" builtinId="9" hidden="1"/>
    <cellStyle name="Besuchter Hyperlink" xfId="958" builtinId="9" hidden="1"/>
    <cellStyle name="Besuchter Hyperlink" xfId="960" builtinId="9" hidden="1"/>
    <cellStyle name="Besuchter Hyperlink" xfId="962" builtinId="9" hidden="1"/>
    <cellStyle name="Besuchter Hyperlink" xfId="964" builtinId="9" hidden="1"/>
    <cellStyle name="Besuchter Hyperlink" xfId="966" builtinId="9" hidden="1"/>
    <cellStyle name="Besuchter Hyperlink" xfId="968" builtinId="9" hidden="1"/>
    <cellStyle name="Besuchter Hyperlink" xfId="970" builtinId="9" hidden="1"/>
    <cellStyle name="Besuchter Hyperlink" xfId="972" builtinId="9" hidden="1"/>
    <cellStyle name="Besuchter Hyperlink" xfId="974" builtinId="9" hidden="1"/>
    <cellStyle name="Besuchter Hyperlink" xfId="976" builtinId="9" hidden="1"/>
    <cellStyle name="Besuchter Hyperlink" xfId="978" builtinId="9" hidden="1"/>
    <cellStyle name="Besuchter Hyperlink" xfId="980" builtinId="9" hidden="1"/>
    <cellStyle name="Besuchter Hyperlink" xfId="982" builtinId="9" hidden="1"/>
    <cellStyle name="Besuchter Hyperlink" xfId="984" builtinId="9" hidden="1"/>
    <cellStyle name="Besuchter Hyperlink" xfId="986" builtinId="9" hidden="1"/>
    <cellStyle name="Besuchter Hyperlink" xfId="988" builtinId="9" hidden="1"/>
    <cellStyle name="Besuchter Hyperlink" xfId="990" builtinId="9" hidden="1"/>
    <cellStyle name="Besuchter Hyperlink" xfId="992" builtinId="9" hidden="1"/>
    <cellStyle name="Besuchter Hyperlink" xfId="994" builtinId="9" hidden="1"/>
    <cellStyle name="Besuchter Hyperlink" xfId="996" builtinId="9" hidden="1"/>
    <cellStyle name="Besuchter Hyperlink" xfId="998" builtinId="9" hidden="1"/>
    <cellStyle name="Besuchter Hyperlink" xfId="1000" builtinId="9" hidden="1"/>
    <cellStyle name="Besuchter Hyperlink" xfId="1002" builtinId="9" hidden="1"/>
    <cellStyle name="Besuchter Hyperlink" xfId="1004" builtinId="9" hidden="1"/>
    <cellStyle name="Besuchter Hyperlink" xfId="1006" builtinId="9" hidden="1"/>
    <cellStyle name="Besuchter Hyperlink" xfId="1008" builtinId="9" hidden="1"/>
    <cellStyle name="Besuchter Hyperlink" xfId="1010" builtinId="9" hidden="1"/>
    <cellStyle name="Besuchter Hyperlink" xfId="1012" builtinId="9" hidden="1"/>
    <cellStyle name="Besuchter Hyperlink" xfId="1014" builtinId="9" hidden="1"/>
    <cellStyle name="Besuchter Hyperlink" xfId="1016" builtinId="9" hidden="1"/>
    <cellStyle name="Besuchter Hyperlink" xfId="1018" builtinId="9" hidden="1"/>
    <cellStyle name="Besuchter Hyperlink" xfId="1020" builtinId="9" hidden="1"/>
    <cellStyle name="Besuchter Hyperlink" xfId="1022" builtinId="9" hidden="1"/>
    <cellStyle name="Besuchter Hyperlink" xfId="1024" builtinId="9" hidden="1"/>
    <cellStyle name="Besuchter Hyperlink" xfId="1026" builtinId="9" hidden="1"/>
    <cellStyle name="Besuchter Hyperlink" xfId="1028" builtinId="9" hidden="1"/>
    <cellStyle name="Besuchter Hyperlink" xfId="1030" builtinId="9" hidden="1"/>
    <cellStyle name="Besuchter Hyperlink" xfId="1032" builtinId="9" hidden="1"/>
    <cellStyle name="Besuchter Hyperlink" xfId="1034" builtinId="9" hidden="1"/>
    <cellStyle name="Besuchter Hyperlink" xfId="1036" builtinId="9" hidden="1"/>
    <cellStyle name="Besuchter Hyperlink" xfId="1038" builtinId="9" hidden="1"/>
    <cellStyle name="Besuchter Hyperlink" xfId="1040" builtinId="9" hidden="1"/>
    <cellStyle name="Besuchter Hyperlink" xfId="1042" builtinId="9" hidden="1"/>
    <cellStyle name="Besuchter Hyperlink" xfId="1044" builtinId="9" hidden="1"/>
    <cellStyle name="Besuchter Hyperlink" xfId="1046" builtinId="9" hidden="1"/>
    <cellStyle name="Besuchter Hyperlink" xfId="1048" builtinId="9" hidden="1"/>
    <cellStyle name="Besuchter Hyperlink" xfId="1050" builtinId="9" hidden="1"/>
    <cellStyle name="Besuchter Hyperlink" xfId="1052" builtinId="9" hidden="1"/>
    <cellStyle name="Besuchter Hyperlink" xfId="1054" builtinId="9" hidden="1"/>
    <cellStyle name="Besuchter Hyperlink" xfId="1056" builtinId="9" hidden="1"/>
    <cellStyle name="Besuchter Hyperlink" xfId="1058" builtinId="9" hidden="1"/>
    <cellStyle name="Besuchter Hyperlink" xfId="1060" builtinId="9" hidden="1"/>
    <cellStyle name="Besuchter Hyperlink" xfId="1062" builtinId="9" hidden="1"/>
    <cellStyle name="Besuchter Hyperlink" xfId="1064" builtinId="9" hidden="1"/>
    <cellStyle name="Besuchter Hyperlink" xfId="1066" builtinId="9" hidden="1"/>
    <cellStyle name="Besuchter Hyperlink" xfId="1068" builtinId="9" hidden="1"/>
    <cellStyle name="Besuchter Hyperlink" xfId="1070" builtinId="9" hidden="1"/>
    <cellStyle name="Besuchter Hyperlink" xfId="1072" builtinId="9" hidden="1"/>
    <cellStyle name="Besuchter Hyperlink" xfId="1074" builtinId="9" hidden="1"/>
    <cellStyle name="Besuchter Hyperlink" xfId="1076" builtinId="9" hidden="1"/>
    <cellStyle name="Besuchter Hyperlink" xfId="1078" builtinId="9" hidden="1"/>
    <cellStyle name="Besuchter Hyperlink" xfId="1080" builtinId="9" hidden="1"/>
    <cellStyle name="Besuchter Hyperlink" xfId="1082" builtinId="9" hidden="1"/>
    <cellStyle name="Besuchter Hyperlink" xfId="1084" builtinId="9" hidden="1"/>
    <cellStyle name="Besuchter Hyperlink" xfId="1086" builtinId="9" hidden="1"/>
    <cellStyle name="Besuchter Hyperlink" xfId="1088" builtinId="9" hidden="1"/>
    <cellStyle name="Besuchter Hyperlink" xfId="1090" builtinId="9" hidden="1"/>
    <cellStyle name="Besuchter Hyperlink" xfId="1092" builtinId="9" hidden="1"/>
    <cellStyle name="Besuchter Hyperlink" xfId="1094" builtinId="9" hidden="1"/>
    <cellStyle name="Besuchter Hyperlink" xfId="1096" builtinId="9" hidden="1"/>
    <cellStyle name="Besuchter Hyperlink" xfId="1098" builtinId="9" hidden="1"/>
    <cellStyle name="Besuchter Hyperlink" xfId="1100" builtinId="9" hidden="1"/>
    <cellStyle name="Besuchter Hyperlink" xfId="1102" builtinId="9" hidden="1"/>
    <cellStyle name="Besuchter Hyperlink" xfId="1104" builtinId="9" hidden="1"/>
    <cellStyle name="Besuchter Hyperlink" xfId="1106" builtinId="9" hidden="1"/>
    <cellStyle name="Besuchter Hyperlink" xfId="1108" builtinId="9" hidden="1"/>
    <cellStyle name="Besuchter Hyperlink" xfId="1110" builtinId="9" hidden="1"/>
    <cellStyle name="Besuchter Hyperlink" xfId="1112" builtinId="9" hidden="1"/>
    <cellStyle name="Besuchter Hyperlink" xfId="1114" builtinId="9" hidden="1"/>
    <cellStyle name="Besuchter Hyperlink" xfId="1116" builtinId="9" hidden="1"/>
    <cellStyle name="Besuchter Hyperlink" xfId="1118" builtinId="9" hidden="1"/>
    <cellStyle name="Besuchter Hyperlink" xfId="1120" builtinId="9" hidden="1"/>
    <cellStyle name="Besuchter Hyperlink" xfId="1122" builtinId="9" hidden="1"/>
    <cellStyle name="Besuchter Hyperlink" xfId="1124" builtinId="9" hidden="1"/>
    <cellStyle name="Besuchter Hyperlink" xfId="1126" builtinId="9" hidden="1"/>
    <cellStyle name="Besuchter Hyperlink" xfId="1128" builtinId="9" hidden="1"/>
    <cellStyle name="Besuchter Hyperlink" xfId="1130" builtinId="9" hidden="1"/>
    <cellStyle name="Besuchter Hyperlink" xfId="1132" builtinId="9" hidden="1"/>
    <cellStyle name="Besuchter Hyperlink" xfId="1134" builtinId="9" hidden="1"/>
    <cellStyle name="Besuchter Hyperlink" xfId="1136" builtinId="9" hidden="1"/>
    <cellStyle name="Besuchter Hyperlink" xfId="1138" builtinId="9" hidden="1"/>
    <cellStyle name="Besuchter Hyperlink" xfId="1140" builtinId="9" hidden="1"/>
    <cellStyle name="Besuchter Hyperlink" xfId="1142" builtinId="9" hidden="1"/>
    <cellStyle name="Besuchter Hyperlink" xfId="1144" builtinId="9" hidden="1"/>
    <cellStyle name="Besuchter Hyperlink" xfId="1146" builtinId="9" hidden="1"/>
    <cellStyle name="Besuchter Hyperlink" xfId="1148" builtinId="9" hidden="1"/>
    <cellStyle name="Besuchter Hyperlink" xfId="1150" builtinId="9" hidden="1"/>
    <cellStyle name="Besuchter Hyperlink" xfId="1152" builtinId="9" hidden="1"/>
    <cellStyle name="Besuchter Hyperlink" xfId="1154" builtinId="9" hidden="1"/>
    <cellStyle name="Besuchter Hyperlink" xfId="1156" builtinId="9" hidden="1"/>
    <cellStyle name="Besuchter Hyperlink" xfId="1158" builtinId="9" hidden="1"/>
    <cellStyle name="Besuchter Hyperlink" xfId="1160" builtinId="9" hidden="1"/>
    <cellStyle name="Besuchter Hyperlink" xfId="1162" builtinId="9" hidden="1"/>
    <cellStyle name="Besuchter Hyperlink" xfId="1164" builtinId="9" hidden="1"/>
    <cellStyle name="Besuchter Hyperlink" xfId="1166" builtinId="9" hidden="1"/>
    <cellStyle name="Besuchter Hyperlink" xfId="1168" builtinId="9" hidden="1"/>
    <cellStyle name="Besuchter Hyperlink" xfId="1170" builtinId="9" hidden="1"/>
    <cellStyle name="Besuchter Hyperlink" xfId="1172" builtinId="9" hidden="1"/>
    <cellStyle name="Besuchter Hyperlink" xfId="1174" builtinId="9" hidden="1"/>
    <cellStyle name="Besuchter Hyperlink" xfId="1176" builtinId="9" hidden="1"/>
    <cellStyle name="Besuchter Hyperlink" xfId="1178" builtinId="9" hidden="1"/>
    <cellStyle name="Besuchter Hyperlink" xfId="1180" builtinId="9" hidden="1"/>
    <cellStyle name="Besuchter Hyperlink" xfId="1182" builtinId="9" hidden="1"/>
    <cellStyle name="Besuchter Hyperlink" xfId="1184" builtinId="9" hidden="1"/>
    <cellStyle name="Besuchter Hyperlink" xfId="1186" builtinId="9" hidden="1"/>
    <cellStyle name="Besuchter Hyperlink" xfId="1188" builtinId="9" hidden="1"/>
    <cellStyle name="Besuchter Hyperlink" xfId="1190" builtinId="9" hidden="1"/>
    <cellStyle name="Besuchter Hyperlink" xfId="1192" builtinId="9" hidden="1"/>
    <cellStyle name="Besuchter Hyperlink" xfId="1194" builtinId="9" hidden="1"/>
    <cellStyle name="Besuchter Hyperlink" xfId="1196" builtinId="9" hidden="1"/>
    <cellStyle name="Besuchter Hyperlink" xfId="1198" builtinId="9" hidden="1"/>
    <cellStyle name="Besuchter Hyperlink" xfId="1200" builtinId="9" hidden="1"/>
    <cellStyle name="Besuchter Hyperlink" xfId="1202" builtinId="9" hidden="1"/>
    <cellStyle name="Besuchter Hyperlink" xfId="1204" builtinId="9" hidden="1"/>
    <cellStyle name="Besuchter Hyperlink" xfId="1206" builtinId="9" hidden="1"/>
    <cellStyle name="Besuchter Hyperlink" xfId="1208" builtinId="9" hidden="1"/>
    <cellStyle name="Besuchter Hyperlink" xfId="1210" builtinId="9" hidden="1"/>
    <cellStyle name="Besuchter Hyperlink" xfId="1212" builtinId="9" hidden="1"/>
    <cellStyle name="Besuchter Hyperlink" xfId="1214" builtinId="9" hidden="1"/>
    <cellStyle name="Besuchter Hyperlink" xfId="1216" builtinId="9" hidden="1"/>
    <cellStyle name="Besuchter Hyperlink" xfId="1218" builtinId="9" hidden="1"/>
    <cellStyle name="Besuchter Hyperlink" xfId="1220" builtinId="9" hidden="1"/>
    <cellStyle name="Besuchter Hyperlink" xfId="1222" builtinId="9" hidden="1"/>
    <cellStyle name="Besuchter Hyperlink" xfId="1224" builtinId="9" hidden="1"/>
    <cellStyle name="Besuchter Hyperlink" xfId="1226" builtinId="9" hidden="1"/>
    <cellStyle name="Besuchter Hyperlink" xfId="1228" builtinId="9" hidden="1"/>
    <cellStyle name="Besuchter Hyperlink" xfId="1230" builtinId="9" hidden="1"/>
    <cellStyle name="Besuchter Hyperlink" xfId="1232" builtinId="9" hidden="1"/>
    <cellStyle name="Besuchter Hyperlink" xfId="1234" builtinId="9" hidden="1"/>
    <cellStyle name="Besuchter Hyperlink" xfId="1236" builtinId="9" hidden="1"/>
    <cellStyle name="Besuchter Hyperlink" xfId="1238" builtinId="9" hidden="1"/>
    <cellStyle name="Besuchter Hyperlink" xfId="1240" builtinId="9" hidden="1"/>
    <cellStyle name="Besuchter Hyperlink" xfId="1242" builtinId="9" hidden="1"/>
    <cellStyle name="Besuchter Hyperlink" xfId="1244" builtinId="9" hidden="1"/>
    <cellStyle name="Besuchter Hyperlink" xfId="1246" builtinId="9" hidden="1"/>
    <cellStyle name="Besuchter Hyperlink" xfId="1248" builtinId="9" hidden="1"/>
    <cellStyle name="Besuchter Hyperlink" xfId="1250" builtinId="9" hidden="1"/>
    <cellStyle name="Besuchter Hyperlink" xfId="1252" builtinId="9" hidden="1"/>
    <cellStyle name="Besuchter Hyperlink" xfId="1254" builtinId="9" hidden="1"/>
    <cellStyle name="Besuchter Hyperlink" xfId="1256" builtinId="9" hidden="1"/>
    <cellStyle name="Besuchter Hyperlink" xfId="1258" builtinId="9" hidden="1"/>
    <cellStyle name="Besuchter Hyperlink" xfId="1260" builtinId="9" hidden="1"/>
    <cellStyle name="Besuchter Hyperlink" xfId="1262" builtinId="9" hidden="1"/>
    <cellStyle name="Besuchter Hyperlink" xfId="1264" builtinId="9" hidden="1"/>
    <cellStyle name="Besuchter Hyperlink" xfId="1266" builtinId="9" hidden="1"/>
    <cellStyle name="Besuchter Hyperlink" xfId="1268" builtinId="9" hidden="1"/>
    <cellStyle name="Besuchter Hyperlink" xfId="1270" builtinId="9" hidden="1"/>
    <cellStyle name="Besuchter Hyperlink" xfId="1272" builtinId="9" hidden="1"/>
    <cellStyle name="Besuchter Hyperlink" xfId="1274" builtinId="9" hidden="1"/>
    <cellStyle name="Besuchter Hyperlink" xfId="1276" builtinId="9" hidden="1"/>
    <cellStyle name="Besuchter Hyperlink" xfId="1278" builtinId="9" hidden="1"/>
    <cellStyle name="Besuchter Hyperlink" xfId="1280" builtinId="9" hidden="1"/>
    <cellStyle name="Besuchter Hyperlink" xfId="1282" builtinId="9" hidden="1"/>
    <cellStyle name="Besuchter Hyperlink" xfId="1284" builtinId="9" hidden="1"/>
    <cellStyle name="Besuchter Hyperlink" xfId="1286" builtinId="9" hidden="1"/>
    <cellStyle name="Besuchter Hyperlink" xfId="1288" builtinId="9" hidden="1"/>
    <cellStyle name="Besuchter Hyperlink" xfId="1290" builtinId="9" hidden="1"/>
    <cellStyle name="Besuchter Hyperlink" xfId="1292" builtinId="9" hidden="1"/>
    <cellStyle name="Besuchter Hyperlink" xfId="1294" builtinId="9" hidden="1"/>
    <cellStyle name="Besuchter Hyperlink" xfId="1296" builtinId="9" hidden="1"/>
    <cellStyle name="Besuchter Hyperlink" xfId="1298" builtinId="9" hidden="1"/>
    <cellStyle name="Besuchter Hyperlink" xfId="1300" builtinId="9" hidden="1"/>
    <cellStyle name="Besuchter Hyperlink" xfId="1302" builtinId="9" hidden="1"/>
    <cellStyle name="Besuchter Hyperlink" xfId="1304" builtinId="9" hidden="1"/>
    <cellStyle name="Besuchter Hyperlink" xfId="1306" builtinId="9" hidden="1"/>
    <cellStyle name="Besuchter Hyperlink" xfId="1308" builtinId="9" hidden="1"/>
    <cellStyle name="Besuchter Hyperlink" xfId="1310" builtinId="9" hidden="1"/>
    <cellStyle name="Besuchter Hyperlink" xfId="1312" builtinId="9" hidden="1"/>
    <cellStyle name="Besuchter Hyperlink" xfId="1314" builtinId="9" hidden="1"/>
    <cellStyle name="Besuchter Hyperlink" xfId="1316" builtinId="9" hidden="1"/>
    <cellStyle name="Besuchter Hyperlink" xfId="1318" builtinId="9" hidden="1"/>
    <cellStyle name="Besuchter Hyperlink" xfId="1320" builtinId="9" hidden="1"/>
    <cellStyle name="Besuchter Hyperlink" xfId="1322" builtinId="9" hidden="1"/>
    <cellStyle name="Besuchter Hyperlink" xfId="1324" builtinId="9" hidden="1"/>
    <cellStyle name="Besuchter Hyperlink" xfId="1326" builtinId="9" hidden="1"/>
    <cellStyle name="Besuchter Hyperlink" xfId="1328" builtinId="9" hidden="1"/>
    <cellStyle name="Besuchter Hyperlink" xfId="1330" builtinId="9" hidden="1"/>
    <cellStyle name="Besuchter Hyperlink" xfId="1332" builtinId="9" hidden="1"/>
    <cellStyle name="Besuchter Hyperlink" xfId="1334" builtinId="9" hidden="1"/>
    <cellStyle name="Besuchter Hyperlink" xfId="1336" builtinId="9" hidden="1"/>
    <cellStyle name="Besuchter Hyperlink" xfId="1338" builtinId="9" hidden="1"/>
    <cellStyle name="Besuchter Hyperlink" xfId="1340" builtinId="9" hidden="1"/>
    <cellStyle name="Besuchter Hyperlink" xfId="1342" builtinId="9" hidden="1"/>
    <cellStyle name="Besuchter Hyperlink" xfId="1344" builtinId="9" hidden="1"/>
    <cellStyle name="Besuchter Hyperlink" xfId="1346" builtinId="9" hidden="1"/>
    <cellStyle name="Besuchter Hyperlink" xfId="1348" builtinId="9" hidden="1"/>
    <cellStyle name="Besuchter Hyperlink" xfId="1350" builtinId="9" hidden="1"/>
    <cellStyle name="Besuchter Hyperlink" xfId="1352" builtinId="9" hidden="1"/>
    <cellStyle name="Besuchter Hyperlink" xfId="1354" builtinId="9" hidden="1"/>
    <cellStyle name="Besuchter Hyperlink" xfId="1356" builtinId="9" hidden="1"/>
    <cellStyle name="Besuchter Hyperlink" xfId="1358" builtinId="9" hidden="1"/>
    <cellStyle name="Besuchter Hyperlink" xfId="1360" builtinId="9" hidden="1"/>
    <cellStyle name="Besuchter Hyperlink" xfId="1362" builtinId="9" hidden="1"/>
    <cellStyle name="Besuchter Hyperlink" xfId="1364" builtinId="9" hidden="1"/>
    <cellStyle name="Besuchter Hyperlink" xfId="1366" builtinId="9" hidden="1"/>
    <cellStyle name="Besuchter Hyperlink" xfId="1368" builtinId="9" hidden="1"/>
    <cellStyle name="Besuchter Hyperlink" xfId="1370" builtinId="9" hidden="1"/>
    <cellStyle name="Besuchter Hyperlink" xfId="1372" builtinId="9" hidden="1"/>
    <cellStyle name="Besuchter Hyperlink" xfId="1374" builtinId="9" hidden="1"/>
    <cellStyle name="Besuchter Hyperlink" xfId="1376" builtinId="9" hidden="1"/>
    <cellStyle name="Besuchter Hyperlink" xfId="1378" builtinId="9" hidden="1"/>
    <cellStyle name="Besuchter Hyperlink" xfId="1380" builtinId="9" hidden="1"/>
    <cellStyle name="Besuchter Hyperlink" xfId="1382" builtinId="9" hidden="1"/>
    <cellStyle name="Besuchter Hyperlink" xfId="1384" builtinId="9" hidden="1"/>
    <cellStyle name="Besuchter Hyperlink" xfId="1386" builtinId="9" hidden="1"/>
    <cellStyle name="Besuchter Hyperlink" xfId="1388" builtinId="9" hidden="1"/>
    <cellStyle name="Besuchter Hyperlink" xfId="1390" builtinId="9" hidden="1"/>
    <cellStyle name="Besuchter Hyperlink" xfId="1392" builtinId="9" hidden="1"/>
    <cellStyle name="Besuchter Hyperlink" xfId="1394" builtinId="9" hidden="1"/>
    <cellStyle name="Besuchter Hyperlink" xfId="1396" builtinId="9" hidden="1"/>
    <cellStyle name="Besuchter Hyperlink" xfId="1398" builtinId="9" hidden="1"/>
    <cellStyle name="Besuchter Hyperlink" xfId="1400" builtinId="9" hidden="1"/>
    <cellStyle name="Besuchter Hyperlink" xfId="1402" builtinId="9" hidden="1"/>
    <cellStyle name="Besuchter Hyperlink" xfId="1404" builtinId="9" hidden="1"/>
    <cellStyle name="Besuchter Hyperlink" xfId="1406" builtinId="9" hidden="1"/>
    <cellStyle name="Besuchter Hyperlink" xfId="1408" builtinId="9" hidden="1"/>
    <cellStyle name="Besuchter Hyperlink" xfId="1410" builtinId="9" hidden="1"/>
    <cellStyle name="Besuchter Hyperlink" xfId="1412" builtinId="9" hidden="1"/>
    <cellStyle name="Besuchter Hyperlink" xfId="1414" builtinId="9" hidden="1"/>
    <cellStyle name="Besuchter Hyperlink" xfId="1416" builtinId="9" hidden="1"/>
    <cellStyle name="Besuchter Hyperlink" xfId="1418" builtinId="9" hidden="1"/>
    <cellStyle name="Besuchter Hyperlink" xfId="1420" builtinId="9" hidden="1"/>
    <cellStyle name="Besuchter Hyperlink" xfId="1422" builtinId="9" hidden="1"/>
    <cellStyle name="Besuchter Hyperlink" xfId="1424" builtinId="9" hidden="1"/>
    <cellStyle name="Besuchter Hyperlink" xfId="1426" builtinId="9" hidden="1"/>
    <cellStyle name="Besuchter Hyperlink" xfId="1428" builtinId="9" hidden="1"/>
    <cellStyle name="Besuchter Hyperlink" xfId="1430" builtinId="9" hidden="1"/>
    <cellStyle name="Besuchter Hyperlink" xfId="1432" builtinId="9" hidden="1"/>
    <cellStyle name="Besuchter Hyperlink" xfId="1434" builtinId="9" hidden="1"/>
    <cellStyle name="Besuchter Hyperlink" xfId="1436" builtinId="9" hidden="1"/>
    <cellStyle name="Besuchter Hyperlink" xfId="1438" builtinId="9" hidden="1"/>
    <cellStyle name="Besuchter Hyperlink" xfId="1440" builtinId="9" hidden="1"/>
    <cellStyle name="Besuchter Hyperlink" xfId="1442" builtinId="9" hidden="1"/>
    <cellStyle name="Besuchter Hyperlink" xfId="1444" builtinId="9" hidden="1"/>
    <cellStyle name="Besuchter Hyperlink" xfId="1446" builtinId="9" hidden="1"/>
    <cellStyle name="Besuchter Hyperlink" xfId="1448" builtinId="9" hidden="1"/>
    <cellStyle name="Besuchter Hyperlink" xfId="1450" builtinId="9" hidden="1"/>
    <cellStyle name="Besuchter Hyperlink" xfId="1452" builtinId="9" hidden="1"/>
    <cellStyle name="Besuchter Hyperlink" xfId="1454" builtinId="9" hidden="1"/>
    <cellStyle name="Besuchter Hyperlink" xfId="1456" builtinId="9" hidden="1"/>
    <cellStyle name="Besuchter Hyperlink" xfId="1458" builtinId="9" hidden="1"/>
    <cellStyle name="Besuchter Hyperlink" xfId="1460" builtinId="9" hidden="1"/>
    <cellStyle name="Besuchter Hyperlink" xfId="1462" builtinId="9" hidden="1"/>
    <cellStyle name="Besuchter Hyperlink" xfId="1464" builtinId="9" hidden="1"/>
    <cellStyle name="Besuchter Hyperlink" xfId="1466" builtinId="9" hidden="1"/>
    <cellStyle name="Besuchter Hyperlink" xfId="1468" builtinId="9" hidden="1"/>
    <cellStyle name="Besuchter Hyperlink" xfId="1470" builtinId="9" hidden="1"/>
    <cellStyle name="Besuchter Hyperlink" xfId="1472" builtinId="9" hidden="1"/>
    <cellStyle name="Besuchter Hyperlink" xfId="1474" builtinId="9" hidden="1"/>
    <cellStyle name="Besuchter Hyperlink" xfId="1476" builtinId="9" hidden="1"/>
    <cellStyle name="Besuchter Hyperlink" xfId="1478" builtinId="9" hidden="1"/>
    <cellStyle name="Besuchter Hyperlink" xfId="1480" builtinId="9" hidden="1"/>
    <cellStyle name="Besuchter Hyperlink" xfId="1482" builtinId="9" hidden="1"/>
    <cellStyle name="Besuchter Hyperlink" xfId="1484" builtinId="9" hidden="1"/>
    <cellStyle name="Besuchter Hyperlink" xfId="1486" builtinId="9" hidden="1"/>
    <cellStyle name="Besuchter Hyperlink" xfId="1488" builtinId="9" hidden="1"/>
    <cellStyle name="Besuchter Hyperlink" xfId="1490" builtinId="9" hidden="1"/>
    <cellStyle name="Besuchter Hyperlink" xfId="1492" builtinId="9" hidden="1"/>
    <cellStyle name="Besuchter Hyperlink" xfId="1494" builtinId="9" hidden="1"/>
    <cellStyle name="Besuchter Hyperlink" xfId="1496" builtinId="9" hidden="1"/>
    <cellStyle name="Besuchter Hyperlink" xfId="1498" builtinId="9" hidden="1"/>
    <cellStyle name="Besuchter Hyperlink" xfId="1500" builtinId="9" hidden="1"/>
    <cellStyle name="Besuchter Hyperlink" xfId="1502" builtinId="9" hidden="1"/>
    <cellStyle name="Besuchter Hyperlink" xfId="1504" builtinId="9" hidden="1"/>
    <cellStyle name="Besuchter Hyperlink" xfId="1506" builtinId="9" hidden="1"/>
    <cellStyle name="Besuchter Hyperlink" xfId="1508" builtinId="9" hidden="1"/>
    <cellStyle name="Besuchter Hyperlink" xfId="1510" builtinId="9" hidden="1"/>
    <cellStyle name="Besuchter Hyperlink" xfId="1512" builtinId="9" hidden="1"/>
    <cellStyle name="Besuchter Hyperlink" xfId="1514" builtinId="9" hidden="1"/>
    <cellStyle name="Besuchter Hyperlink" xfId="1516" builtinId="9" hidden="1"/>
    <cellStyle name="Besuchter Hyperlink" xfId="1518" builtinId="9" hidden="1"/>
    <cellStyle name="Besuchter Hyperlink" xfId="1520" builtinId="9" hidden="1"/>
    <cellStyle name="Besuchter Hyperlink" xfId="1522" builtinId="9" hidden="1"/>
    <cellStyle name="Besuchter Hyperlink" xfId="1524" builtinId="9" hidden="1"/>
    <cellStyle name="Besuchter Hyperlink" xfId="1526" builtinId="9" hidden="1"/>
    <cellStyle name="Besuchter Hyperlink" xfId="1528" builtinId="9" hidden="1"/>
    <cellStyle name="Besuchter Hyperlink" xfId="1530" builtinId="9" hidden="1"/>
    <cellStyle name="Besuchter Hyperlink" xfId="1532" builtinId="9" hidden="1"/>
    <cellStyle name="Besuchter Hyperlink" xfId="1534" builtinId="9" hidden="1"/>
    <cellStyle name="Besuchter Hyperlink" xfId="1536" builtinId="9" hidden="1"/>
    <cellStyle name="Besuchter Hyperlink" xfId="1538" builtinId="9" hidden="1"/>
    <cellStyle name="Besuchter Hyperlink" xfId="1540" builtinId="9" hidden="1"/>
    <cellStyle name="Besuchter Hyperlink" xfId="1542" builtinId="9" hidden="1"/>
    <cellStyle name="Besuchter Hyperlink" xfId="1544" builtinId="9" hidden="1"/>
    <cellStyle name="Besuchter Hyperlink" xfId="1546" builtinId="9" hidden="1"/>
    <cellStyle name="Besuchter Hyperlink" xfId="1548" builtinId="9" hidden="1"/>
    <cellStyle name="Besuchter Hyperlink" xfId="1550" builtinId="9" hidden="1"/>
    <cellStyle name="Besuchter Hyperlink" xfId="1552" builtinId="9" hidden="1"/>
    <cellStyle name="Besuchter Hyperlink" xfId="1554" builtinId="9" hidden="1"/>
    <cellStyle name="Besuchter Hyperlink" xfId="1556" builtinId="9" hidden="1"/>
    <cellStyle name="Besuchter Hyperlink" xfId="1558" builtinId="9" hidden="1"/>
    <cellStyle name="Besuchter Hyperlink" xfId="1560" builtinId="9" hidden="1"/>
    <cellStyle name="Besuchter Hyperlink" xfId="1562" builtinId="9" hidden="1"/>
    <cellStyle name="Besuchter Hyperlink" xfId="1564" builtinId="9" hidden="1"/>
    <cellStyle name="Besuchter Hyperlink" xfId="1566" builtinId="9" hidden="1"/>
    <cellStyle name="Besuchter Hyperlink" xfId="1568" builtinId="9" hidden="1"/>
    <cellStyle name="Besuchter Hyperlink" xfId="1570" builtinId="9" hidden="1"/>
    <cellStyle name="Besuchter Hyperlink" xfId="1572" builtinId="9" hidden="1"/>
    <cellStyle name="Besuchter Hyperlink" xfId="1574" builtinId="9" hidden="1"/>
    <cellStyle name="Besuchter Hyperlink" xfId="1576" builtinId="9" hidden="1"/>
    <cellStyle name="Besuchter Hyperlink" xfId="1578" builtinId="9" hidden="1"/>
    <cellStyle name="Besuchter Hyperlink" xfId="1580" builtinId="9" hidden="1"/>
    <cellStyle name="Besuchter Hyperlink" xfId="1582" builtinId="9" hidden="1"/>
    <cellStyle name="Besuchter Hyperlink" xfId="1584" builtinId="9" hidden="1"/>
    <cellStyle name="Besuchter Hyperlink" xfId="1586" builtinId="9" hidden="1"/>
    <cellStyle name="Besuchter Hyperlink" xfId="1588" builtinId="9" hidden="1"/>
    <cellStyle name="Besuchter Hyperlink" xfId="1590" builtinId="9" hidden="1"/>
    <cellStyle name="Besuchter Hyperlink" xfId="1592" builtinId="9" hidden="1"/>
    <cellStyle name="Besuchter Hyperlink" xfId="1594" builtinId="9" hidden="1"/>
    <cellStyle name="Besuchter Hyperlink" xfId="1596" builtinId="9" hidden="1"/>
    <cellStyle name="Besuchter Hyperlink" xfId="1598" builtinId="9" hidden="1"/>
    <cellStyle name="Besuchter Hyperlink" xfId="1600" builtinId="9" hidden="1"/>
    <cellStyle name="Besuchter Hyperlink" xfId="1602" builtinId="9" hidden="1"/>
    <cellStyle name="Besuchter Hyperlink" xfId="1604" builtinId="9" hidden="1"/>
    <cellStyle name="Besuchter Hyperlink" xfId="1606" builtinId="9" hidden="1"/>
    <cellStyle name="Besuchter Hyperlink" xfId="1608" builtinId="9" hidden="1"/>
    <cellStyle name="Besuchter Hyperlink" xfId="1610" builtinId="9" hidden="1"/>
    <cellStyle name="Besuchter Hyperlink" xfId="1612" builtinId="9" hidden="1"/>
    <cellStyle name="Besuchter Hyperlink" xfId="1614" builtinId="9" hidden="1"/>
    <cellStyle name="Besuchter Hyperlink" xfId="1616" builtinId="9" hidden="1"/>
    <cellStyle name="Besuchter Hyperlink" xfId="1618" builtinId="9" hidden="1"/>
    <cellStyle name="Besuchter Hyperlink" xfId="1620" builtinId="9" hidden="1"/>
    <cellStyle name="Besuchter Hyperlink" xfId="1622" builtinId="9" hidden="1"/>
    <cellStyle name="Besuchter Hyperlink" xfId="1624" builtinId="9" hidden="1"/>
    <cellStyle name="Besuchter Hyperlink" xfId="1626" builtinId="9" hidden="1"/>
    <cellStyle name="Besuchter Hyperlink" xfId="1628" builtinId="9" hidden="1"/>
    <cellStyle name="Besuchter Hyperlink" xfId="1630" builtinId="9" hidden="1"/>
    <cellStyle name="Besuchter Hyperlink" xfId="1632" builtinId="9" hidden="1"/>
    <cellStyle name="Besuchter Hyperlink" xfId="1634" builtinId="9" hidden="1"/>
    <cellStyle name="Besuchter Hyperlink" xfId="1636" builtinId="9" hidden="1"/>
    <cellStyle name="Besuchter Hyperlink" xfId="1638" builtinId="9" hidden="1"/>
    <cellStyle name="Besuchter Hyperlink" xfId="1640" builtinId="9" hidden="1"/>
    <cellStyle name="Besuchter Hyperlink" xfId="1642" builtinId="9" hidden="1"/>
    <cellStyle name="Besuchter Hyperlink" xfId="1644" builtinId="9" hidden="1"/>
    <cellStyle name="Besuchter Hyperlink" xfId="1646" builtinId="9" hidden="1"/>
    <cellStyle name="Besuchter Hyperlink" xfId="1648" builtinId="9" hidden="1"/>
    <cellStyle name="Besuchter Hyperlink" xfId="1650" builtinId="9" hidden="1"/>
    <cellStyle name="Besuchter Hyperlink" xfId="1652" builtinId="9" hidden="1"/>
    <cellStyle name="Besuchter Hyperlink" xfId="1654" builtinId="9" hidden="1"/>
    <cellStyle name="Besuchter Hyperlink" xfId="1656" builtinId="9" hidden="1"/>
    <cellStyle name="Besuchter Hyperlink" xfId="1658" builtinId="9" hidden="1"/>
    <cellStyle name="Besuchter Hyperlink" xfId="1660" builtinId="9" hidden="1"/>
    <cellStyle name="Besuchter Hyperlink" xfId="1662" builtinId="9" hidden="1"/>
    <cellStyle name="Besuchter Hyperlink" xfId="1664" builtinId="9" hidden="1"/>
    <cellStyle name="Besuchter Hyperlink" xfId="1666" builtinId="9" hidden="1"/>
    <cellStyle name="Besuchter Hyperlink" xfId="1668" builtinId="9" hidden="1"/>
    <cellStyle name="Besuchter Hyperlink" xfId="1670" builtinId="9" hidden="1"/>
    <cellStyle name="Besuchter Hyperlink" xfId="1672" builtinId="9" hidden="1"/>
    <cellStyle name="Besuchter Hyperlink" xfId="1674" builtinId="9" hidden="1"/>
    <cellStyle name="Besuchter Hyperlink" xfId="1676" builtinId="9" hidden="1"/>
    <cellStyle name="Besuchter Hyperlink" xfId="1678" builtinId="9" hidden="1"/>
    <cellStyle name="Besuchter Hyperlink" xfId="1680" builtinId="9" hidden="1"/>
    <cellStyle name="Besuchter Hyperlink" xfId="1682" builtinId="9" hidden="1"/>
    <cellStyle name="Besuchter Hyperlink" xfId="1684" builtinId="9" hidden="1"/>
    <cellStyle name="Besuchter Hyperlink" xfId="1686" builtinId="9" hidden="1"/>
    <cellStyle name="Besuchter Hyperlink" xfId="1688" builtinId="9" hidden="1"/>
    <cellStyle name="Besuchter Hyperlink" xfId="1690" builtinId="9" hidden="1"/>
    <cellStyle name="Besuchter Hyperlink" xfId="1692" builtinId="9" hidden="1"/>
    <cellStyle name="Besuchter Hyperlink" xfId="1694" builtinId="9" hidden="1"/>
    <cellStyle name="Besuchter Hyperlink" xfId="1696" builtinId="9" hidden="1"/>
    <cellStyle name="Besuchter Hyperlink" xfId="1698" builtinId="9" hidden="1"/>
    <cellStyle name="Besuchter Hyperlink" xfId="1700" builtinId="9" hidden="1"/>
    <cellStyle name="Besuchter Hyperlink" xfId="1702" builtinId="9" hidden="1"/>
    <cellStyle name="Besuchter Hyperlink" xfId="1704" builtinId="9" hidden="1"/>
    <cellStyle name="Besuchter Hyperlink" xfId="1706" builtinId="9" hidden="1"/>
    <cellStyle name="Besuchter Hyperlink" xfId="1708" builtinId="9" hidden="1"/>
    <cellStyle name="Besuchter Hyperlink" xfId="1710" builtinId="9" hidden="1"/>
    <cellStyle name="Besuchter Hyperlink" xfId="1712" builtinId="9" hidden="1"/>
    <cellStyle name="Besuchter Hyperlink" xfId="1714" builtinId="9" hidden="1"/>
    <cellStyle name="Besuchter Hyperlink" xfId="1716" builtinId="9" hidden="1"/>
    <cellStyle name="Besuchter Hyperlink" xfId="1718" builtinId="9" hidden="1"/>
    <cellStyle name="Besuchter Hyperlink" xfId="1720" builtinId="9" hidden="1"/>
    <cellStyle name="Besuchter Hyperlink" xfId="1722" builtinId="9" hidden="1"/>
    <cellStyle name="Besuchter Hyperlink" xfId="1724" builtinId="9" hidden="1"/>
    <cellStyle name="Besuchter Hyperlink" xfId="1726" builtinId="9" hidden="1"/>
    <cellStyle name="Besuchter Hyperlink" xfId="1728" builtinId="9" hidden="1"/>
    <cellStyle name="Besuchter Hyperlink" xfId="1730" builtinId="9" hidden="1"/>
    <cellStyle name="Besuchter Hyperlink" xfId="1732" builtinId="9" hidden="1"/>
    <cellStyle name="Besuchter Hyperlink" xfId="1734" builtinId="9" hidden="1"/>
    <cellStyle name="Besuchter Hyperlink" xfId="1736" builtinId="9" hidden="1"/>
    <cellStyle name="Besuchter Hyperlink" xfId="1738" builtinId="9" hidden="1"/>
    <cellStyle name="Besuchter Hyperlink" xfId="1740" builtinId="9" hidden="1"/>
    <cellStyle name="Besuchter Hyperlink" xfId="1742" builtinId="9" hidden="1"/>
    <cellStyle name="Besuchter Hyperlink" xfId="1744" builtinId="9" hidden="1"/>
    <cellStyle name="Besuchter Hyperlink" xfId="1746" builtinId="9" hidden="1"/>
    <cellStyle name="Besuchter Hyperlink" xfId="1748" builtinId="9" hidden="1"/>
    <cellStyle name="Besuchter Hyperlink" xfId="1750" builtinId="9" hidden="1"/>
    <cellStyle name="Besuchter Hyperlink" xfId="1752" builtinId="9" hidden="1"/>
    <cellStyle name="Besuchter Hyperlink" xfId="1754" builtinId="9" hidden="1"/>
    <cellStyle name="Besuchter Hyperlink" xfId="1756" builtinId="9" hidden="1"/>
    <cellStyle name="Besuchter Hyperlink" xfId="1758" builtinId="9" hidden="1"/>
    <cellStyle name="Besuchter Hyperlink" xfId="1760" builtinId="9" hidden="1"/>
    <cellStyle name="Besuchter Hyperlink" xfId="1762" builtinId="9" hidden="1"/>
    <cellStyle name="Besuchter Hyperlink" xfId="1764" builtinId="9" hidden="1"/>
    <cellStyle name="Besuchter Hyperlink" xfId="1766" builtinId="9" hidden="1"/>
    <cellStyle name="Besuchter Hyperlink" xfId="1768" builtinId="9" hidden="1"/>
    <cellStyle name="Besuchter Hyperlink" xfId="1770" builtinId="9" hidden="1"/>
    <cellStyle name="Besuchter Hyperlink" xfId="1772" builtinId="9" hidden="1"/>
    <cellStyle name="Besuchter Hyperlink" xfId="1774" builtinId="9" hidden="1"/>
    <cellStyle name="Besuchter Hyperlink" xfId="1776" builtinId="9" hidden="1"/>
    <cellStyle name="Besuchter Hyperlink" xfId="1778" builtinId="9" hidden="1"/>
    <cellStyle name="Besuchter Hyperlink" xfId="1780" builtinId="9" hidden="1"/>
    <cellStyle name="Besuchter Hyperlink" xfId="1782" builtinId="9" hidden="1"/>
    <cellStyle name="Besuchter Hyperlink" xfId="1784" builtinId="9" hidden="1"/>
    <cellStyle name="Besuchter Hyperlink" xfId="1786" builtinId="9" hidden="1"/>
    <cellStyle name="Besuchter Hyperlink" xfId="1788" builtinId="9" hidden="1"/>
    <cellStyle name="Besuchter Hyperlink" xfId="1790" builtinId="9" hidden="1"/>
    <cellStyle name="Besuchter Hyperlink" xfId="1792" builtinId="9" hidden="1"/>
    <cellStyle name="Besuchter Hyperlink" xfId="1794" builtinId="9" hidden="1"/>
    <cellStyle name="Besuchter Hyperlink" xfId="1796" builtinId="9" hidden="1"/>
    <cellStyle name="Besuchter Hyperlink" xfId="1798" builtinId="9" hidden="1"/>
    <cellStyle name="Besuchter Hyperlink" xfId="1800" builtinId="9" hidden="1"/>
    <cellStyle name="Besuchter Hyperlink" xfId="1802" builtinId="9" hidden="1"/>
    <cellStyle name="Besuchter Hyperlink" xfId="1804" builtinId="9" hidden="1"/>
    <cellStyle name="Besuchter Hyperlink" xfId="1806" builtinId="9" hidden="1"/>
    <cellStyle name="Besuchter Hyperlink" xfId="1808" builtinId="9" hidden="1"/>
    <cellStyle name="Besuchter Hyperlink" xfId="1810" builtinId="9" hidden="1"/>
    <cellStyle name="Besuchter Hyperlink" xfId="1812" builtinId="9" hidden="1"/>
    <cellStyle name="Besuchter Hyperlink" xfId="1814" builtinId="9" hidden="1"/>
    <cellStyle name="Besuchter Hyperlink" xfId="1816" builtinId="9" hidden="1"/>
    <cellStyle name="Besuchter Hyperlink" xfId="1818" builtinId="9" hidden="1"/>
    <cellStyle name="Besuchter Hyperlink" xfId="1820" builtinId="9" hidden="1"/>
    <cellStyle name="Besuchter Hyperlink" xfId="1822" builtinId="9" hidden="1"/>
    <cellStyle name="Besuchter Hyperlink" xfId="1824" builtinId="9" hidden="1"/>
    <cellStyle name="Besuchter Hyperlink" xfId="1826" builtinId="9" hidden="1"/>
    <cellStyle name="Besuchter Hyperlink" xfId="1828" builtinId="9" hidden="1"/>
    <cellStyle name="Besuchter Hyperlink" xfId="1830" builtinId="9" hidden="1"/>
    <cellStyle name="Besuchter Hyperlink" xfId="1832" builtinId="9" hidden="1"/>
    <cellStyle name="Besuchter Hyperlink" xfId="1834" builtinId="9" hidden="1"/>
    <cellStyle name="Besuchter Hyperlink" xfId="1836" builtinId="9" hidden="1"/>
    <cellStyle name="Besuchter Hyperlink" xfId="1838" builtinId="9" hidden="1"/>
    <cellStyle name="Besuchter Hyperlink" xfId="1840" builtinId="9" hidden="1"/>
    <cellStyle name="Besuchter Hyperlink" xfId="1842" builtinId="9" hidden="1"/>
    <cellStyle name="Besuchter Hyperlink" xfId="1844" builtinId="9" hidden="1"/>
    <cellStyle name="Besuchter Hyperlink" xfId="1846" builtinId="9" hidden="1"/>
    <cellStyle name="Besuchter Hyperlink" xfId="1848" builtinId="9" hidden="1"/>
    <cellStyle name="Besuchter Hyperlink" xfId="1850" builtinId="9" hidden="1"/>
    <cellStyle name="Besuchter Hyperlink" xfId="1852" builtinId="9" hidden="1"/>
    <cellStyle name="Besuchter Hyperlink" xfId="1854" builtinId="9" hidden="1"/>
    <cellStyle name="Besuchter Hyperlink" xfId="1856" builtinId="9" hidden="1"/>
    <cellStyle name="Besuchter Hyperlink" xfId="1858" builtinId="9" hidden="1"/>
    <cellStyle name="Besuchter Hyperlink" xfId="1860" builtinId="9" hidden="1"/>
    <cellStyle name="Besuchter Hyperlink" xfId="1862" builtinId="9" hidden="1"/>
    <cellStyle name="Besuchter Hyperlink" xfId="1864" builtinId="9" hidden="1"/>
    <cellStyle name="Besuchter Hyperlink" xfId="1866" builtinId="9" hidden="1"/>
    <cellStyle name="Besuchter Hyperlink" xfId="1868" builtinId="9" hidden="1"/>
    <cellStyle name="Besuchter Hyperlink" xfId="1870" builtinId="9" hidden="1"/>
    <cellStyle name="Besuchter Hyperlink" xfId="1872" builtinId="9" hidden="1"/>
    <cellStyle name="Besuchter Hyperlink" xfId="1874" builtinId="9" hidden="1"/>
    <cellStyle name="Besuchter Hyperlink" xfId="1876" builtinId="9" hidden="1"/>
    <cellStyle name="Besuchter Hyperlink" xfId="1878" builtinId="9" hidden="1"/>
    <cellStyle name="Besuchter Hyperlink" xfId="1880" builtinId="9" hidden="1"/>
    <cellStyle name="Besuchter Hyperlink" xfId="1882" builtinId="9" hidden="1"/>
    <cellStyle name="Besuchter Hyperlink" xfId="1884" builtinId="9" hidden="1"/>
    <cellStyle name="Besuchter Hyperlink" xfId="1886" builtinId="9" hidden="1"/>
    <cellStyle name="Besuchter Hyperlink" xfId="1888" builtinId="9" hidden="1"/>
    <cellStyle name="Besuchter Hyperlink" xfId="1890" builtinId="9" hidden="1"/>
    <cellStyle name="Besuchter Hyperlink" xfId="1892" builtinId="9" hidden="1"/>
    <cellStyle name="Besuchter Hyperlink" xfId="1894" builtinId="9" hidden="1"/>
    <cellStyle name="Besuchter Hyperlink" xfId="1896" builtinId="9" hidden="1"/>
    <cellStyle name="Besuchter Hyperlink" xfId="1898" builtinId="9" hidden="1"/>
    <cellStyle name="Besuchter Hyperlink" xfId="1900" builtinId="9" hidden="1"/>
    <cellStyle name="Besuchter Hyperlink" xfId="1902" builtinId="9" hidden="1"/>
    <cellStyle name="Besuchter Hyperlink" xfId="1904" builtinId="9" hidden="1"/>
    <cellStyle name="Besuchter Hyperlink" xfId="1906" builtinId="9" hidden="1"/>
    <cellStyle name="Besuchter Hyperlink" xfId="1908" builtinId="9" hidden="1"/>
    <cellStyle name="Besuchter Hyperlink" xfId="1910" builtinId="9" hidden="1"/>
    <cellStyle name="Besuchter Hyperlink" xfId="1912" builtinId="9" hidden="1"/>
    <cellStyle name="Besuchter Hyperlink" xfId="1914" builtinId="9" hidden="1"/>
    <cellStyle name="Besuchter Hyperlink" xfId="1916" builtinId="9" hidden="1"/>
    <cellStyle name="Besuchter Hyperlink" xfId="1918" builtinId="9" hidden="1"/>
    <cellStyle name="Besuchter Hyperlink" xfId="1920" builtinId="9" hidden="1"/>
    <cellStyle name="Besuchter Hyperlink" xfId="1922" builtinId="9" hidden="1"/>
    <cellStyle name="Komma" xfId="1927" builtinId="3"/>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09" builtinId="8" hidden="1"/>
    <cellStyle name="Link" xfId="711" builtinId="8" hidden="1"/>
    <cellStyle name="Link" xfId="713" builtinId="8" hidden="1"/>
    <cellStyle name="Link" xfId="715" builtinId="8" hidden="1"/>
    <cellStyle name="Link" xfId="717" builtinId="8" hidden="1"/>
    <cellStyle name="Link" xfId="719" builtinId="8" hidden="1"/>
    <cellStyle name="Link" xfId="721" builtinId="8" hidden="1"/>
    <cellStyle name="Link" xfId="723" builtinId="8" hidden="1"/>
    <cellStyle name="Link" xfId="725" builtinId="8" hidden="1"/>
    <cellStyle name="Link" xfId="727" builtinId="8" hidden="1"/>
    <cellStyle name="Link" xfId="729" builtinId="8" hidden="1"/>
    <cellStyle name="Link" xfId="731" builtinId="8" hidden="1"/>
    <cellStyle name="Link" xfId="733" builtinId="8" hidden="1"/>
    <cellStyle name="Link" xfId="735" builtinId="8" hidden="1"/>
    <cellStyle name="Link" xfId="737" builtinId="8" hidden="1"/>
    <cellStyle name="Link" xfId="739" builtinId="8" hidden="1"/>
    <cellStyle name="Link" xfId="741" builtinId="8" hidden="1"/>
    <cellStyle name="Link" xfId="743" builtinId="8" hidden="1"/>
    <cellStyle name="Link" xfId="745" builtinId="8" hidden="1"/>
    <cellStyle name="Link" xfId="747" builtinId="8" hidden="1"/>
    <cellStyle name="Link" xfId="749" builtinId="8" hidden="1"/>
    <cellStyle name="Link" xfId="751" builtinId="8" hidden="1"/>
    <cellStyle name="Link" xfId="753" builtinId="8" hidden="1"/>
    <cellStyle name="Link" xfId="755" builtinId="8" hidden="1"/>
    <cellStyle name="Link" xfId="757" builtinId="8" hidden="1"/>
    <cellStyle name="Link" xfId="759" builtinId="8" hidden="1"/>
    <cellStyle name="Link" xfId="761" builtinId="8" hidden="1"/>
    <cellStyle name="Link" xfId="763" builtinId="8" hidden="1"/>
    <cellStyle name="Link" xfId="765" builtinId="8" hidden="1"/>
    <cellStyle name="Link" xfId="767" builtinId="8" hidden="1"/>
    <cellStyle name="Link" xfId="769" builtinId="8" hidden="1"/>
    <cellStyle name="Link" xfId="771" builtinId="8" hidden="1"/>
    <cellStyle name="Link" xfId="773" builtinId="8" hidden="1"/>
    <cellStyle name="Link" xfId="775" builtinId="8" hidden="1"/>
    <cellStyle name="Link" xfId="777" builtinId="8" hidden="1"/>
    <cellStyle name="Link" xfId="779" builtinId="8" hidden="1"/>
    <cellStyle name="Link" xfId="781" builtinId="8" hidden="1"/>
    <cellStyle name="Link" xfId="783" builtinId="8" hidden="1"/>
    <cellStyle name="Link" xfId="785" builtinId="8" hidden="1"/>
    <cellStyle name="Link" xfId="787" builtinId="8" hidden="1"/>
    <cellStyle name="Link" xfId="789" builtinId="8" hidden="1"/>
    <cellStyle name="Link" xfId="791" builtinId="8" hidden="1"/>
    <cellStyle name="Link" xfId="793" builtinId="8" hidden="1"/>
    <cellStyle name="Link" xfId="795" builtinId="8" hidden="1"/>
    <cellStyle name="Link" xfId="797" builtinId="8" hidden="1"/>
    <cellStyle name="Link" xfId="799" builtinId="8" hidden="1"/>
    <cellStyle name="Link" xfId="801" builtinId="8" hidden="1"/>
    <cellStyle name="Link" xfId="803" builtinId="8" hidden="1"/>
    <cellStyle name="Link" xfId="805" builtinId="8" hidden="1"/>
    <cellStyle name="Link" xfId="807" builtinId="8" hidden="1"/>
    <cellStyle name="Link" xfId="809" builtinId="8" hidden="1"/>
    <cellStyle name="Link" xfId="811" builtinId="8" hidden="1"/>
    <cellStyle name="Link" xfId="813" builtinId="8" hidden="1"/>
    <cellStyle name="Link" xfId="815" builtinId="8" hidden="1"/>
    <cellStyle name="Link" xfId="817" builtinId="8" hidden="1"/>
    <cellStyle name="Link" xfId="819" builtinId="8" hidden="1"/>
    <cellStyle name="Link" xfId="821" builtinId="8" hidden="1"/>
    <cellStyle name="Link" xfId="823" builtinId="8" hidden="1"/>
    <cellStyle name="Link" xfId="825" builtinId="8" hidden="1"/>
    <cellStyle name="Link" xfId="827" builtinId="8" hidden="1"/>
    <cellStyle name="Link" xfId="829" builtinId="8" hidden="1"/>
    <cellStyle name="Link" xfId="831" builtinId="8" hidden="1"/>
    <cellStyle name="Link" xfId="833" builtinId="8" hidden="1"/>
    <cellStyle name="Link" xfId="835" builtinId="8" hidden="1"/>
    <cellStyle name="Link" xfId="837" builtinId="8" hidden="1"/>
    <cellStyle name="Link" xfId="839" builtinId="8" hidden="1"/>
    <cellStyle name="Link" xfId="841" builtinId="8" hidden="1"/>
    <cellStyle name="Link" xfId="843" builtinId="8" hidden="1"/>
    <cellStyle name="Link" xfId="845" builtinId="8" hidden="1"/>
    <cellStyle name="Link" xfId="847" builtinId="8" hidden="1"/>
    <cellStyle name="Link" xfId="849" builtinId="8" hidden="1"/>
    <cellStyle name="Link" xfId="851" builtinId="8" hidden="1"/>
    <cellStyle name="Link" xfId="853" builtinId="8" hidden="1"/>
    <cellStyle name="Link" xfId="855" builtinId="8" hidden="1"/>
    <cellStyle name="Link" xfId="857" builtinId="8" hidden="1"/>
    <cellStyle name="Link" xfId="859" builtinId="8" hidden="1"/>
    <cellStyle name="Link" xfId="861" builtinId="8" hidden="1"/>
    <cellStyle name="Link" xfId="863" builtinId="8" hidden="1"/>
    <cellStyle name="Link" xfId="865" builtinId="8" hidden="1"/>
    <cellStyle name="Link" xfId="867" builtinId="8" hidden="1"/>
    <cellStyle name="Link" xfId="869" builtinId="8" hidden="1"/>
    <cellStyle name="Link" xfId="871" builtinId="8" hidden="1"/>
    <cellStyle name="Link" xfId="873" builtinId="8" hidden="1"/>
    <cellStyle name="Link" xfId="875" builtinId="8" hidden="1"/>
    <cellStyle name="Link" xfId="877" builtinId="8" hidden="1"/>
    <cellStyle name="Link" xfId="879" builtinId="8" hidden="1"/>
    <cellStyle name="Link" xfId="881" builtinId="8" hidden="1"/>
    <cellStyle name="Link" xfId="883" builtinId="8" hidden="1"/>
    <cellStyle name="Link" xfId="885" builtinId="8" hidden="1"/>
    <cellStyle name="Link" xfId="887" builtinId="8" hidden="1"/>
    <cellStyle name="Link" xfId="889" builtinId="8" hidden="1"/>
    <cellStyle name="Link" xfId="891" builtinId="8" hidden="1"/>
    <cellStyle name="Link" xfId="893" builtinId="8" hidden="1"/>
    <cellStyle name="Link" xfId="895" builtinId="8" hidden="1"/>
    <cellStyle name="Link" xfId="897" builtinId="8" hidden="1"/>
    <cellStyle name="Link" xfId="899" builtinId="8" hidden="1"/>
    <cellStyle name="Link" xfId="901" builtinId="8" hidden="1"/>
    <cellStyle name="Link" xfId="903" builtinId="8" hidden="1"/>
    <cellStyle name="Link" xfId="905" builtinId="8" hidden="1"/>
    <cellStyle name="Link" xfId="907" builtinId="8" hidden="1"/>
    <cellStyle name="Link" xfId="909" builtinId="8" hidden="1"/>
    <cellStyle name="Link" xfId="911" builtinId="8" hidden="1"/>
    <cellStyle name="Link" xfId="913" builtinId="8" hidden="1"/>
    <cellStyle name="Link" xfId="915" builtinId="8" hidden="1"/>
    <cellStyle name="Link" xfId="917" builtinId="8" hidden="1"/>
    <cellStyle name="Link" xfId="919" builtinId="8" hidden="1"/>
    <cellStyle name="Link" xfId="921" builtinId="8" hidden="1"/>
    <cellStyle name="Link" xfId="923" builtinId="8" hidden="1"/>
    <cellStyle name="Link" xfId="925" builtinId="8" hidden="1"/>
    <cellStyle name="Link" xfId="927" builtinId="8" hidden="1"/>
    <cellStyle name="Link" xfId="929" builtinId="8" hidden="1"/>
    <cellStyle name="Link" xfId="931" builtinId="8" hidden="1"/>
    <cellStyle name="Link" xfId="933" builtinId="8" hidden="1"/>
    <cellStyle name="Link" xfId="935" builtinId="8" hidden="1"/>
    <cellStyle name="Link" xfId="937" builtinId="8" hidden="1"/>
    <cellStyle name="Link" xfId="939" builtinId="8" hidden="1"/>
    <cellStyle name="Link" xfId="941" builtinId="8" hidden="1"/>
    <cellStyle name="Link" xfId="943" builtinId="8" hidden="1"/>
    <cellStyle name="Link" xfId="945" builtinId="8" hidden="1"/>
    <cellStyle name="Link" xfId="947" builtinId="8" hidden="1"/>
    <cellStyle name="Link" xfId="949" builtinId="8" hidden="1"/>
    <cellStyle name="Link" xfId="951" builtinId="8" hidden="1"/>
    <cellStyle name="Link" xfId="953" builtinId="8" hidden="1"/>
    <cellStyle name="Link" xfId="955" builtinId="8" hidden="1"/>
    <cellStyle name="Link" xfId="957" builtinId="8" hidden="1"/>
    <cellStyle name="Link" xfId="959" builtinId="8" hidden="1"/>
    <cellStyle name="Link" xfId="961" builtinId="8" hidden="1"/>
    <cellStyle name="Link" xfId="963" builtinId="8" hidden="1"/>
    <cellStyle name="Link" xfId="965" builtinId="8" hidden="1"/>
    <cellStyle name="Link" xfId="967" builtinId="8" hidden="1"/>
    <cellStyle name="Link" xfId="969" builtinId="8" hidden="1"/>
    <cellStyle name="Link" xfId="971" builtinId="8" hidden="1"/>
    <cellStyle name="Link" xfId="973" builtinId="8" hidden="1"/>
    <cellStyle name="Link" xfId="975" builtinId="8" hidden="1"/>
    <cellStyle name="Link" xfId="977" builtinId="8" hidden="1"/>
    <cellStyle name="Link" xfId="979" builtinId="8" hidden="1"/>
    <cellStyle name="Link" xfId="981" builtinId="8" hidden="1"/>
    <cellStyle name="Link" xfId="983" builtinId="8" hidden="1"/>
    <cellStyle name="Link" xfId="985" builtinId="8" hidden="1"/>
    <cellStyle name="Link" xfId="987" builtinId="8" hidden="1"/>
    <cellStyle name="Link" xfId="989" builtinId="8" hidden="1"/>
    <cellStyle name="Link" xfId="991" builtinId="8" hidden="1"/>
    <cellStyle name="Link" xfId="993" builtinId="8" hidden="1"/>
    <cellStyle name="Link" xfId="995" builtinId="8" hidden="1"/>
    <cellStyle name="Link" xfId="997" builtinId="8" hidden="1"/>
    <cellStyle name="Link" xfId="999" builtinId="8" hidden="1"/>
    <cellStyle name="Link" xfId="1001" builtinId="8" hidden="1"/>
    <cellStyle name="Link" xfId="1003" builtinId="8" hidden="1"/>
    <cellStyle name="Link" xfId="1005" builtinId="8" hidden="1"/>
    <cellStyle name="Link" xfId="1007" builtinId="8" hidden="1"/>
    <cellStyle name="Link" xfId="1009" builtinId="8" hidden="1"/>
    <cellStyle name="Link" xfId="1011" builtinId="8" hidden="1"/>
    <cellStyle name="Link" xfId="1013" builtinId="8" hidden="1"/>
    <cellStyle name="Link" xfId="1015" builtinId="8" hidden="1"/>
    <cellStyle name="Link" xfId="1017" builtinId="8" hidden="1"/>
    <cellStyle name="Link" xfId="1019" builtinId="8" hidden="1"/>
    <cellStyle name="Link" xfId="1021" builtinId="8" hidden="1"/>
    <cellStyle name="Link" xfId="1023" builtinId="8" hidden="1"/>
    <cellStyle name="Link" xfId="1025" builtinId="8" hidden="1"/>
    <cellStyle name="Link" xfId="1027" builtinId="8" hidden="1"/>
    <cellStyle name="Link" xfId="1029" builtinId="8" hidden="1"/>
    <cellStyle name="Link" xfId="1031" builtinId="8" hidden="1"/>
    <cellStyle name="Link" xfId="1033" builtinId="8" hidden="1"/>
    <cellStyle name="Link" xfId="1035" builtinId="8" hidden="1"/>
    <cellStyle name="Link" xfId="1037" builtinId="8" hidden="1"/>
    <cellStyle name="Link" xfId="1039" builtinId="8" hidden="1"/>
    <cellStyle name="Link" xfId="1041" builtinId="8" hidden="1"/>
    <cellStyle name="Link" xfId="1043" builtinId="8" hidden="1"/>
    <cellStyle name="Link" xfId="1045" builtinId="8" hidden="1"/>
    <cellStyle name="Link" xfId="1047" builtinId="8" hidden="1"/>
    <cellStyle name="Link" xfId="1049" builtinId="8" hidden="1"/>
    <cellStyle name="Link" xfId="1051" builtinId="8" hidden="1"/>
    <cellStyle name="Link" xfId="1053" builtinId="8" hidden="1"/>
    <cellStyle name="Link" xfId="1055" builtinId="8" hidden="1"/>
    <cellStyle name="Link" xfId="1057" builtinId="8" hidden="1"/>
    <cellStyle name="Link" xfId="1059" builtinId="8" hidden="1"/>
    <cellStyle name="Link" xfId="1061" builtinId="8" hidden="1"/>
    <cellStyle name="Link" xfId="1063" builtinId="8" hidden="1"/>
    <cellStyle name="Link" xfId="1065" builtinId="8" hidden="1"/>
    <cellStyle name="Link" xfId="1067" builtinId="8" hidden="1"/>
    <cellStyle name="Link" xfId="1069" builtinId="8" hidden="1"/>
    <cellStyle name="Link" xfId="1071" builtinId="8" hidden="1"/>
    <cellStyle name="Link" xfId="1073" builtinId="8" hidden="1"/>
    <cellStyle name="Link" xfId="1075" builtinId="8" hidden="1"/>
    <cellStyle name="Link" xfId="1077" builtinId="8" hidden="1"/>
    <cellStyle name="Link" xfId="1079" builtinId="8" hidden="1"/>
    <cellStyle name="Link" xfId="1081" builtinId="8" hidden="1"/>
    <cellStyle name="Link" xfId="1083" builtinId="8" hidden="1"/>
    <cellStyle name="Link" xfId="1085" builtinId="8" hidden="1"/>
    <cellStyle name="Link" xfId="1087" builtinId="8" hidden="1"/>
    <cellStyle name="Link" xfId="1089" builtinId="8" hidden="1"/>
    <cellStyle name="Link" xfId="1091" builtinId="8" hidden="1"/>
    <cellStyle name="Link" xfId="1093" builtinId="8" hidden="1"/>
    <cellStyle name="Link" xfId="1095" builtinId="8" hidden="1"/>
    <cellStyle name="Link" xfId="1097" builtinId="8" hidden="1"/>
    <cellStyle name="Link" xfId="1099" builtinId="8" hidden="1"/>
    <cellStyle name="Link" xfId="1101" builtinId="8" hidden="1"/>
    <cellStyle name="Link" xfId="1103" builtinId="8" hidden="1"/>
    <cellStyle name="Link" xfId="1105" builtinId="8" hidden="1"/>
    <cellStyle name="Link" xfId="1107" builtinId="8" hidden="1"/>
    <cellStyle name="Link" xfId="1109" builtinId="8" hidden="1"/>
    <cellStyle name="Link" xfId="1111" builtinId="8" hidden="1"/>
    <cellStyle name="Link" xfId="1113" builtinId="8" hidden="1"/>
    <cellStyle name="Link" xfId="1115" builtinId="8" hidden="1"/>
    <cellStyle name="Link" xfId="1117" builtinId="8" hidden="1"/>
    <cellStyle name="Link" xfId="1119" builtinId="8" hidden="1"/>
    <cellStyle name="Link" xfId="1121" builtinId="8" hidden="1"/>
    <cellStyle name="Link" xfId="1123" builtinId="8" hidden="1"/>
    <cellStyle name="Link" xfId="1125" builtinId="8" hidden="1"/>
    <cellStyle name="Link" xfId="1127" builtinId="8" hidden="1"/>
    <cellStyle name="Link" xfId="1129" builtinId="8" hidden="1"/>
    <cellStyle name="Link" xfId="1131" builtinId="8" hidden="1"/>
    <cellStyle name="Link" xfId="1133" builtinId="8" hidden="1"/>
    <cellStyle name="Link" xfId="1135" builtinId="8" hidden="1"/>
    <cellStyle name="Link" xfId="1137" builtinId="8" hidden="1"/>
    <cellStyle name="Link" xfId="1139" builtinId="8" hidden="1"/>
    <cellStyle name="Link" xfId="1141" builtinId="8" hidden="1"/>
    <cellStyle name="Link" xfId="1143" builtinId="8" hidden="1"/>
    <cellStyle name="Link" xfId="1145" builtinId="8" hidden="1"/>
    <cellStyle name="Link" xfId="1147" builtinId="8" hidden="1"/>
    <cellStyle name="Link" xfId="1149" builtinId="8" hidden="1"/>
    <cellStyle name="Link" xfId="1151" builtinId="8" hidden="1"/>
    <cellStyle name="Link" xfId="1153" builtinId="8" hidden="1"/>
    <cellStyle name="Link" xfId="1155" builtinId="8" hidden="1"/>
    <cellStyle name="Link" xfId="1157" builtinId="8" hidden="1"/>
    <cellStyle name="Link" xfId="1159" builtinId="8" hidden="1"/>
    <cellStyle name="Link" xfId="1161" builtinId="8" hidden="1"/>
    <cellStyle name="Link" xfId="1163" builtinId="8" hidden="1"/>
    <cellStyle name="Link" xfId="1165" builtinId="8" hidden="1"/>
    <cellStyle name="Link" xfId="1167" builtinId="8" hidden="1"/>
    <cellStyle name="Link" xfId="1169" builtinId="8" hidden="1"/>
    <cellStyle name="Link" xfId="1171" builtinId="8" hidden="1"/>
    <cellStyle name="Link" xfId="1173" builtinId="8" hidden="1"/>
    <cellStyle name="Link" xfId="1175" builtinId="8" hidden="1"/>
    <cellStyle name="Link" xfId="1177" builtinId="8" hidden="1"/>
    <cellStyle name="Link" xfId="1179" builtinId="8" hidden="1"/>
    <cellStyle name="Link" xfId="1181" builtinId="8" hidden="1"/>
    <cellStyle name="Link" xfId="1183" builtinId="8" hidden="1"/>
    <cellStyle name="Link" xfId="1185" builtinId="8" hidden="1"/>
    <cellStyle name="Link" xfId="1187" builtinId="8" hidden="1"/>
    <cellStyle name="Link" xfId="1189" builtinId="8" hidden="1"/>
    <cellStyle name="Link" xfId="1191" builtinId="8" hidden="1"/>
    <cellStyle name="Link" xfId="1193" builtinId="8" hidden="1"/>
    <cellStyle name="Link" xfId="1195" builtinId="8" hidden="1"/>
    <cellStyle name="Link" xfId="1197" builtinId="8" hidden="1"/>
    <cellStyle name="Link" xfId="1199" builtinId="8" hidden="1"/>
    <cellStyle name="Link" xfId="1201" builtinId="8" hidden="1"/>
    <cellStyle name="Link" xfId="1203" builtinId="8" hidden="1"/>
    <cellStyle name="Link" xfId="1205" builtinId="8" hidden="1"/>
    <cellStyle name="Link" xfId="1207" builtinId="8" hidden="1"/>
    <cellStyle name="Link" xfId="1209" builtinId="8" hidden="1"/>
    <cellStyle name="Link" xfId="1211" builtinId="8" hidden="1"/>
    <cellStyle name="Link" xfId="1213" builtinId="8" hidden="1"/>
    <cellStyle name="Link" xfId="1215" builtinId="8" hidden="1"/>
    <cellStyle name="Link" xfId="1217" builtinId="8" hidden="1"/>
    <cellStyle name="Link" xfId="1219" builtinId="8" hidden="1"/>
    <cellStyle name="Link" xfId="1221" builtinId="8" hidden="1"/>
    <cellStyle name="Link" xfId="1223" builtinId="8" hidden="1"/>
    <cellStyle name="Link" xfId="1225" builtinId="8" hidden="1"/>
    <cellStyle name="Link" xfId="1227" builtinId="8" hidden="1"/>
    <cellStyle name="Link" xfId="1229" builtinId="8" hidden="1"/>
    <cellStyle name="Link" xfId="1231" builtinId="8" hidden="1"/>
    <cellStyle name="Link" xfId="1233" builtinId="8" hidden="1"/>
    <cellStyle name="Link" xfId="1235" builtinId="8" hidden="1"/>
    <cellStyle name="Link" xfId="1237" builtinId="8" hidden="1"/>
    <cellStyle name="Link" xfId="1239" builtinId="8" hidden="1"/>
    <cellStyle name="Link" xfId="1241" builtinId="8" hidden="1"/>
    <cellStyle name="Link" xfId="1243" builtinId="8" hidden="1"/>
    <cellStyle name="Link" xfId="1245" builtinId="8" hidden="1"/>
    <cellStyle name="Link" xfId="1247" builtinId="8" hidden="1"/>
    <cellStyle name="Link" xfId="1249" builtinId="8" hidden="1"/>
    <cellStyle name="Link" xfId="1251" builtinId="8" hidden="1"/>
    <cellStyle name="Link" xfId="1253" builtinId="8" hidden="1"/>
    <cellStyle name="Link" xfId="1255" builtinId="8" hidden="1"/>
    <cellStyle name="Link" xfId="1257" builtinId="8" hidden="1"/>
    <cellStyle name="Link" xfId="1259" builtinId="8" hidden="1"/>
    <cellStyle name="Link" xfId="1261" builtinId="8" hidden="1"/>
    <cellStyle name="Link" xfId="1263" builtinId="8" hidden="1"/>
    <cellStyle name="Link" xfId="1265" builtinId="8" hidden="1"/>
    <cellStyle name="Link" xfId="1267" builtinId="8" hidden="1"/>
    <cellStyle name="Link" xfId="1269" builtinId="8" hidden="1"/>
    <cellStyle name="Link" xfId="1271" builtinId="8" hidden="1"/>
    <cellStyle name="Link" xfId="1273" builtinId="8" hidden="1"/>
    <cellStyle name="Link" xfId="1275" builtinId="8" hidden="1"/>
    <cellStyle name="Link" xfId="1277" builtinId="8" hidden="1"/>
    <cellStyle name="Link" xfId="1279" builtinId="8" hidden="1"/>
    <cellStyle name="Link" xfId="1281" builtinId="8" hidden="1"/>
    <cellStyle name="Link" xfId="1283" builtinId="8" hidden="1"/>
    <cellStyle name="Link" xfId="1285" builtinId="8" hidden="1"/>
    <cellStyle name="Link" xfId="1287" builtinId="8" hidden="1"/>
    <cellStyle name="Link" xfId="1289" builtinId="8" hidden="1"/>
    <cellStyle name="Link" xfId="1291" builtinId="8" hidden="1"/>
    <cellStyle name="Link" xfId="1293" builtinId="8" hidden="1"/>
    <cellStyle name="Link" xfId="1295" builtinId="8" hidden="1"/>
    <cellStyle name="Link" xfId="1297" builtinId="8" hidden="1"/>
    <cellStyle name="Link" xfId="1299" builtinId="8" hidden="1"/>
    <cellStyle name="Link" xfId="1301" builtinId="8" hidden="1"/>
    <cellStyle name="Link" xfId="1303" builtinId="8" hidden="1"/>
    <cellStyle name="Link" xfId="1305" builtinId="8" hidden="1"/>
    <cellStyle name="Link" xfId="1307" builtinId="8" hidden="1"/>
    <cellStyle name="Link" xfId="1309" builtinId="8" hidden="1"/>
    <cellStyle name="Link" xfId="1311" builtinId="8" hidden="1"/>
    <cellStyle name="Link" xfId="1313" builtinId="8" hidden="1"/>
    <cellStyle name="Link" xfId="1315" builtinId="8" hidden="1"/>
    <cellStyle name="Link" xfId="1317" builtinId="8" hidden="1"/>
    <cellStyle name="Link" xfId="1319" builtinId="8" hidden="1"/>
    <cellStyle name="Link" xfId="1321" builtinId="8" hidden="1"/>
    <cellStyle name="Link" xfId="1323" builtinId="8" hidden="1"/>
    <cellStyle name="Link" xfId="1325" builtinId="8" hidden="1"/>
    <cellStyle name="Link" xfId="1327" builtinId="8" hidden="1"/>
    <cellStyle name="Link" xfId="1329" builtinId="8" hidden="1"/>
    <cellStyle name="Link" xfId="1331" builtinId="8" hidden="1"/>
    <cellStyle name="Link" xfId="1333" builtinId="8" hidden="1"/>
    <cellStyle name="Link" xfId="1335" builtinId="8" hidden="1"/>
    <cellStyle name="Link" xfId="1337" builtinId="8" hidden="1"/>
    <cellStyle name="Link" xfId="1339" builtinId="8" hidden="1"/>
    <cellStyle name="Link" xfId="1341" builtinId="8" hidden="1"/>
    <cellStyle name="Link" xfId="1343" builtinId="8" hidden="1"/>
    <cellStyle name="Link" xfId="1345" builtinId="8" hidden="1"/>
    <cellStyle name="Link" xfId="1347" builtinId="8" hidden="1"/>
    <cellStyle name="Link" xfId="1349" builtinId="8" hidden="1"/>
    <cellStyle name="Link" xfId="1351" builtinId="8" hidden="1"/>
    <cellStyle name="Link" xfId="1353" builtinId="8" hidden="1"/>
    <cellStyle name="Link" xfId="1355" builtinId="8" hidden="1"/>
    <cellStyle name="Link" xfId="1357" builtinId="8" hidden="1"/>
    <cellStyle name="Link" xfId="1359" builtinId="8" hidden="1"/>
    <cellStyle name="Link" xfId="1361" builtinId="8" hidden="1"/>
    <cellStyle name="Link" xfId="1363" builtinId="8" hidden="1"/>
    <cellStyle name="Link" xfId="1365" builtinId="8" hidden="1"/>
    <cellStyle name="Link" xfId="1367" builtinId="8" hidden="1"/>
    <cellStyle name="Link" xfId="1369" builtinId="8" hidden="1"/>
    <cellStyle name="Link" xfId="1371" builtinId="8" hidden="1"/>
    <cellStyle name="Link" xfId="1373" builtinId="8" hidden="1"/>
    <cellStyle name="Link" xfId="1375" builtinId="8" hidden="1"/>
    <cellStyle name="Link" xfId="1377" builtinId="8" hidden="1"/>
    <cellStyle name="Link" xfId="1379" builtinId="8" hidden="1"/>
    <cellStyle name="Link" xfId="1381" builtinId="8" hidden="1"/>
    <cellStyle name="Link" xfId="1383" builtinId="8" hidden="1"/>
    <cellStyle name="Link" xfId="1385" builtinId="8" hidden="1"/>
    <cellStyle name="Link" xfId="1387" builtinId="8" hidden="1"/>
    <cellStyle name="Link" xfId="1389" builtinId="8" hidden="1"/>
    <cellStyle name="Link" xfId="1391" builtinId="8" hidden="1"/>
    <cellStyle name="Link" xfId="1393" builtinId="8" hidden="1"/>
    <cellStyle name="Link" xfId="1395" builtinId="8" hidden="1"/>
    <cellStyle name="Link" xfId="1397" builtinId="8" hidden="1"/>
    <cellStyle name="Link" xfId="1399" builtinId="8" hidden="1"/>
    <cellStyle name="Link" xfId="1401" builtinId="8" hidden="1"/>
    <cellStyle name="Link" xfId="1403" builtinId="8" hidden="1"/>
    <cellStyle name="Link" xfId="1405" builtinId="8" hidden="1"/>
    <cellStyle name="Link" xfId="1407" builtinId="8" hidden="1"/>
    <cellStyle name="Link" xfId="1409" builtinId="8" hidden="1"/>
    <cellStyle name="Link" xfId="1411" builtinId="8" hidden="1"/>
    <cellStyle name="Link" xfId="1413" builtinId="8" hidden="1"/>
    <cellStyle name="Link" xfId="1415" builtinId="8" hidden="1"/>
    <cellStyle name="Link" xfId="1417" builtinId="8" hidden="1"/>
    <cellStyle name="Link" xfId="1419" builtinId="8" hidden="1"/>
    <cellStyle name="Link" xfId="1421" builtinId="8" hidden="1"/>
    <cellStyle name="Link" xfId="1423" builtinId="8" hidden="1"/>
    <cellStyle name="Link" xfId="1425" builtinId="8" hidden="1"/>
    <cellStyle name="Link" xfId="1427" builtinId="8" hidden="1"/>
    <cellStyle name="Link" xfId="1429" builtinId="8" hidden="1"/>
    <cellStyle name="Link" xfId="1431" builtinId="8" hidden="1"/>
    <cellStyle name="Link" xfId="1433" builtinId="8" hidden="1"/>
    <cellStyle name="Link" xfId="1435" builtinId="8" hidden="1"/>
    <cellStyle name="Link" xfId="1437" builtinId="8" hidden="1"/>
    <cellStyle name="Link" xfId="1439" builtinId="8" hidden="1"/>
    <cellStyle name="Link" xfId="1441" builtinId="8" hidden="1"/>
    <cellStyle name="Link" xfId="1443" builtinId="8" hidden="1"/>
    <cellStyle name="Link" xfId="1445" builtinId="8" hidden="1"/>
    <cellStyle name="Link" xfId="1447" builtinId="8" hidden="1"/>
    <cellStyle name="Link" xfId="1449" builtinId="8" hidden="1"/>
    <cellStyle name="Link" xfId="1451" builtinId="8" hidden="1"/>
    <cellStyle name="Link" xfId="1453" builtinId="8" hidden="1"/>
    <cellStyle name="Link" xfId="1455" builtinId="8" hidden="1"/>
    <cellStyle name="Link" xfId="1457" builtinId="8" hidden="1"/>
    <cellStyle name="Link" xfId="1459" builtinId="8" hidden="1"/>
    <cellStyle name="Link" xfId="1461" builtinId="8" hidden="1"/>
    <cellStyle name="Link" xfId="1463" builtinId="8" hidden="1"/>
    <cellStyle name="Link" xfId="1465" builtinId="8" hidden="1"/>
    <cellStyle name="Link" xfId="1467" builtinId="8" hidden="1"/>
    <cellStyle name="Link" xfId="1469" builtinId="8" hidden="1"/>
    <cellStyle name="Link" xfId="1471" builtinId="8" hidden="1"/>
    <cellStyle name="Link" xfId="1473" builtinId="8" hidden="1"/>
    <cellStyle name="Link" xfId="1475" builtinId="8" hidden="1"/>
    <cellStyle name="Link" xfId="1477" builtinId="8" hidden="1"/>
    <cellStyle name="Link" xfId="1479" builtinId="8" hidden="1"/>
    <cellStyle name="Link" xfId="1481" builtinId="8" hidden="1"/>
    <cellStyle name="Link" xfId="1483" builtinId="8" hidden="1"/>
    <cellStyle name="Link" xfId="1485" builtinId="8" hidden="1"/>
    <cellStyle name="Link" xfId="1487" builtinId="8" hidden="1"/>
    <cellStyle name="Link" xfId="1489" builtinId="8" hidden="1"/>
    <cellStyle name="Link" xfId="1491" builtinId="8" hidden="1"/>
    <cellStyle name="Link" xfId="1493" builtinId="8" hidden="1"/>
    <cellStyle name="Link" xfId="1495" builtinId="8" hidden="1"/>
    <cellStyle name="Link" xfId="1497" builtinId="8" hidden="1"/>
    <cellStyle name="Link" xfId="1499" builtinId="8" hidden="1"/>
    <cellStyle name="Link" xfId="1501" builtinId="8" hidden="1"/>
    <cellStyle name="Link" xfId="1503" builtinId="8" hidden="1"/>
    <cellStyle name="Link" xfId="1505" builtinId="8" hidden="1"/>
    <cellStyle name="Link" xfId="1507" builtinId="8" hidden="1"/>
    <cellStyle name="Link" xfId="1509" builtinId="8" hidden="1"/>
    <cellStyle name="Link" xfId="1511" builtinId="8" hidden="1"/>
    <cellStyle name="Link" xfId="1513" builtinId="8" hidden="1"/>
    <cellStyle name="Link" xfId="1515" builtinId="8" hidden="1"/>
    <cellStyle name="Link" xfId="1517" builtinId="8" hidden="1"/>
    <cellStyle name="Link" xfId="1519" builtinId="8" hidden="1"/>
    <cellStyle name="Link" xfId="1521" builtinId="8" hidden="1"/>
    <cellStyle name="Link" xfId="1523" builtinId="8" hidden="1"/>
    <cellStyle name="Link" xfId="1525" builtinId="8" hidden="1"/>
    <cellStyle name="Link" xfId="1527" builtinId="8" hidden="1"/>
    <cellStyle name="Link" xfId="1529" builtinId="8" hidden="1"/>
    <cellStyle name="Link" xfId="1531" builtinId="8" hidden="1"/>
    <cellStyle name="Link" xfId="1533" builtinId="8" hidden="1"/>
    <cellStyle name="Link" xfId="1535" builtinId="8" hidden="1"/>
    <cellStyle name="Link" xfId="1537" builtinId="8" hidden="1"/>
    <cellStyle name="Link" xfId="1539" builtinId="8" hidden="1"/>
    <cellStyle name="Link" xfId="1541" builtinId="8" hidden="1"/>
    <cellStyle name="Link" xfId="1543" builtinId="8" hidden="1"/>
    <cellStyle name="Link" xfId="1545" builtinId="8" hidden="1"/>
    <cellStyle name="Link" xfId="1547" builtinId="8" hidden="1"/>
    <cellStyle name="Link" xfId="1549" builtinId="8" hidden="1"/>
    <cellStyle name="Link" xfId="1551" builtinId="8" hidden="1"/>
    <cellStyle name="Link" xfId="1553" builtinId="8" hidden="1"/>
    <cellStyle name="Link" xfId="1555" builtinId="8" hidden="1"/>
    <cellStyle name="Link" xfId="1557" builtinId="8" hidden="1"/>
    <cellStyle name="Link" xfId="1559" builtinId="8" hidden="1"/>
    <cellStyle name="Link" xfId="1561" builtinId="8" hidden="1"/>
    <cellStyle name="Link" xfId="1563" builtinId="8" hidden="1"/>
    <cellStyle name="Link" xfId="1565" builtinId="8" hidden="1"/>
    <cellStyle name="Link" xfId="1567" builtinId="8" hidden="1"/>
    <cellStyle name="Link" xfId="1569" builtinId="8" hidden="1"/>
    <cellStyle name="Link" xfId="1571" builtinId="8" hidden="1"/>
    <cellStyle name="Link" xfId="1573" builtinId="8" hidden="1"/>
    <cellStyle name="Link" xfId="1575" builtinId="8" hidden="1"/>
    <cellStyle name="Link" xfId="1577" builtinId="8" hidden="1"/>
    <cellStyle name="Link" xfId="1579" builtinId="8" hidden="1"/>
    <cellStyle name="Link" xfId="1581" builtinId="8" hidden="1"/>
    <cellStyle name="Link" xfId="1583" builtinId="8" hidden="1"/>
    <cellStyle name="Link" xfId="1585" builtinId="8" hidden="1"/>
    <cellStyle name="Link" xfId="1587" builtinId="8" hidden="1"/>
    <cellStyle name="Link" xfId="1589" builtinId="8" hidden="1"/>
    <cellStyle name="Link" xfId="1591" builtinId="8" hidden="1"/>
    <cellStyle name="Link" xfId="1593" builtinId="8" hidden="1"/>
    <cellStyle name="Link" xfId="1595" builtinId="8" hidden="1"/>
    <cellStyle name="Link" xfId="1597" builtinId="8" hidden="1"/>
    <cellStyle name="Link" xfId="1599" builtinId="8" hidden="1"/>
    <cellStyle name="Link" xfId="1601" builtinId="8" hidden="1"/>
    <cellStyle name="Link" xfId="1603" builtinId="8" hidden="1"/>
    <cellStyle name="Link" xfId="1605" builtinId="8" hidden="1"/>
    <cellStyle name="Link" xfId="1607" builtinId="8" hidden="1"/>
    <cellStyle name="Link" xfId="1609" builtinId="8" hidden="1"/>
    <cellStyle name="Link" xfId="1611" builtinId="8" hidden="1"/>
    <cellStyle name="Link" xfId="1613" builtinId="8" hidden="1"/>
    <cellStyle name="Link" xfId="1615" builtinId="8" hidden="1"/>
    <cellStyle name="Link" xfId="1617" builtinId="8" hidden="1"/>
    <cellStyle name="Link" xfId="1619" builtinId="8" hidden="1"/>
    <cellStyle name="Link" xfId="1621" builtinId="8" hidden="1"/>
    <cellStyle name="Link" xfId="1623" builtinId="8" hidden="1"/>
    <cellStyle name="Link" xfId="1625" builtinId="8" hidden="1"/>
    <cellStyle name="Link" xfId="1627" builtinId="8" hidden="1"/>
    <cellStyle name="Link" xfId="1629" builtinId="8" hidden="1"/>
    <cellStyle name="Link" xfId="1631" builtinId="8" hidden="1"/>
    <cellStyle name="Link" xfId="1633" builtinId="8" hidden="1"/>
    <cellStyle name="Link" xfId="1635" builtinId="8" hidden="1"/>
    <cellStyle name="Link" xfId="1637" builtinId="8" hidden="1"/>
    <cellStyle name="Link" xfId="1639" builtinId="8" hidden="1"/>
    <cellStyle name="Link" xfId="1641" builtinId="8" hidden="1"/>
    <cellStyle name="Link" xfId="1643" builtinId="8" hidden="1"/>
    <cellStyle name="Link" xfId="1645" builtinId="8" hidden="1"/>
    <cellStyle name="Link" xfId="1647" builtinId="8" hidden="1"/>
    <cellStyle name="Link" xfId="1649" builtinId="8" hidden="1"/>
    <cellStyle name="Link" xfId="1651" builtinId="8" hidden="1"/>
    <cellStyle name="Link" xfId="1653" builtinId="8" hidden="1"/>
    <cellStyle name="Link" xfId="1655" builtinId="8" hidden="1"/>
    <cellStyle name="Link" xfId="1657" builtinId="8" hidden="1"/>
    <cellStyle name="Link" xfId="1659" builtinId="8" hidden="1"/>
    <cellStyle name="Link" xfId="1661" builtinId="8" hidden="1"/>
    <cellStyle name="Link" xfId="1663" builtinId="8" hidden="1"/>
    <cellStyle name="Link" xfId="1665" builtinId="8" hidden="1"/>
    <cellStyle name="Link" xfId="1667" builtinId="8" hidden="1"/>
    <cellStyle name="Link" xfId="1669" builtinId="8" hidden="1"/>
    <cellStyle name="Link" xfId="1671" builtinId="8" hidden="1"/>
    <cellStyle name="Link" xfId="1673" builtinId="8" hidden="1"/>
    <cellStyle name="Link" xfId="1675" builtinId="8" hidden="1"/>
    <cellStyle name="Link" xfId="1677" builtinId="8" hidden="1"/>
    <cellStyle name="Link" xfId="1679" builtinId="8" hidden="1"/>
    <cellStyle name="Link" xfId="1681" builtinId="8" hidden="1"/>
    <cellStyle name="Link" xfId="1683" builtinId="8" hidden="1"/>
    <cellStyle name="Link" xfId="1685" builtinId="8" hidden="1"/>
    <cellStyle name="Link" xfId="1687" builtinId="8" hidden="1"/>
    <cellStyle name="Link" xfId="1689" builtinId="8" hidden="1"/>
    <cellStyle name="Link" xfId="1691" builtinId="8" hidden="1"/>
    <cellStyle name="Link" xfId="1693" builtinId="8" hidden="1"/>
    <cellStyle name="Link" xfId="1695" builtinId="8" hidden="1"/>
    <cellStyle name="Link" xfId="1697" builtinId="8" hidden="1"/>
    <cellStyle name="Link" xfId="1699" builtinId="8" hidden="1"/>
    <cellStyle name="Link" xfId="1701" builtinId="8" hidden="1"/>
    <cellStyle name="Link" xfId="1703" builtinId="8" hidden="1"/>
    <cellStyle name="Link" xfId="1705" builtinId="8" hidden="1"/>
    <cellStyle name="Link" xfId="1707" builtinId="8" hidden="1"/>
    <cellStyle name="Link" xfId="1709" builtinId="8" hidden="1"/>
    <cellStyle name="Link" xfId="1711" builtinId="8" hidden="1"/>
    <cellStyle name="Link" xfId="1713" builtinId="8" hidden="1"/>
    <cellStyle name="Link" xfId="1715" builtinId="8" hidden="1"/>
    <cellStyle name="Link" xfId="1717" builtinId="8" hidden="1"/>
    <cellStyle name="Link" xfId="1719" builtinId="8" hidden="1"/>
    <cellStyle name="Link" xfId="1721" builtinId="8" hidden="1"/>
    <cellStyle name="Link" xfId="1723" builtinId="8" hidden="1"/>
    <cellStyle name="Link" xfId="1725" builtinId="8" hidden="1"/>
    <cellStyle name="Link" xfId="1727" builtinId="8" hidden="1"/>
    <cellStyle name="Link" xfId="1729" builtinId="8" hidden="1"/>
    <cellStyle name="Link" xfId="1731" builtinId="8" hidden="1"/>
    <cellStyle name="Link" xfId="1733" builtinId="8" hidden="1"/>
    <cellStyle name="Link" xfId="1735" builtinId="8" hidden="1"/>
    <cellStyle name="Link" xfId="1737" builtinId="8" hidden="1"/>
    <cellStyle name="Link" xfId="1739" builtinId="8" hidden="1"/>
    <cellStyle name="Link" xfId="1741" builtinId="8" hidden="1"/>
    <cellStyle name="Link" xfId="1743" builtinId="8" hidden="1"/>
    <cellStyle name="Link" xfId="1745" builtinId="8" hidden="1"/>
    <cellStyle name="Link" xfId="1747" builtinId="8" hidden="1"/>
    <cellStyle name="Link" xfId="1749" builtinId="8" hidden="1"/>
    <cellStyle name="Link" xfId="1751" builtinId="8" hidden="1"/>
    <cellStyle name="Link" xfId="1753" builtinId="8" hidden="1"/>
    <cellStyle name="Link" xfId="1755" builtinId="8" hidden="1"/>
    <cellStyle name="Link" xfId="1757" builtinId="8" hidden="1"/>
    <cellStyle name="Link" xfId="1759" builtinId="8" hidden="1"/>
    <cellStyle name="Link" xfId="1761" builtinId="8" hidden="1"/>
    <cellStyle name="Link" xfId="1763" builtinId="8" hidden="1"/>
    <cellStyle name="Link" xfId="1765" builtinId="8" hidden="1"/>
    <cellStyle name="Link" xfId="1767" builtinId="8" hidden="1"/>
    <cellStyle name="Link" xfId="1769" builtinId="8" hidden="1"/>
    <cellStyle name="Link" xfId="1771" builtinId="8" hidden="1"/>
    <cellStyle name="Link" xfId="1773" builtinId="8" hidden="1"/>
    <cellStyle name="Link" xfId="1775" builtinId="8" hidden="1"/>
    <cellStyle name="Link" xfId="1777" builtinId="8" hidden="1"/>
    <cellStyle name="Link" xfId="1779" builtinId="8" hidden="1"/>
    <cellStyle name="Link" xfId="1781" builtinId="8" hidden="1"/>
    <cellStyle name="Link" xfId="1783" builtinId="8" hidden="1"/>
    <cellStyle name="Link" xfId="1785" builtinId="8" hidden="1"/>
    <cellStyle name="Link" xfId="1787" builtinId="8" hidden="1"/>
    <cellStyle name="Link" xfId="1789" builtinId="8" hidden="1"/>
    <cellStyle name="Link" xfId="1791" builtinId="8" hidden="1"/>
    <cellStyle name="Link" xfId="1793" builtinId="8" hidden="1"/>
    <cellStyle name="Link" xfId="1795" builtinId="8" hidden="1"/>
    <cellStyle name="Link" xfId="1797" builtinId="8" hidden="1"/>
    <cellStyle name="Link" xfId="1799" builtinId="8" hidden="1"/>
    <cellStyle name="Link" xfId="1801" builtinId="8" hidden="1"/>
    <cellStyle name="Link" xfId="1803" builtinId="8" hidden="1"/>
    <cellStyle name="Link" xfId="1805" builtinId="8" hidden="1"/>
    <cellStyle name="Link" xfId="1807" builtinId="8" hidden="1"/>
    <cellStyle name="Link" xfId="1809" builtinId="8" hidden="1"/>
    <cellStyle name="Link" xfId="1811" builtinId="8" hidden="1"/>
    <cellStyle name="Link" xfId="1813" builtinId="8" hidden="1"/>
    <cellStyle name="Link" xfId="1815" builtinId="8" hidden="1"/>
    <cellStyle name="Link" xfId="1817" builtinId="8" hidden="1"/>
    <cellStyle name="Link" xfId="1819" builtinId="8" hidden="1"/>
    <cellStyle name="Link" xfId="1821" builtinId="8" hidden="1"/>
    <cellStyle name="Link" xfId="1823" builtinId="8" hidden="1"/>
    <cellStyle name="Link" xfId="1825" builtinId="8" hidden="1"/>
    <cellStyle name="Link" xfId="1827" builtinId="8" hidden="1"/>
    <cellStyle name="Link" xfId="1829" builtinId="8" hidden="1"/>
    <cellStyle name="Link" xfId="1831" builtinId="8" hidden="1"/>
    <cellStyle name="Link" xfId="1833" builtinId="8" hidden="1"/>
    <cellStyle name="Link" xfId="1835" builtinId="8" hidden="1"/>
    <cellStyle name="Link" xfId="1837" builtinId="8" hidden="1"/>
    <cellStyle name="Link" xfId="1839" builtinId="8" hidden="1"/>
    <cellStyle name="Link" xfId="1841" builtinId="8" hidden="1"/>
    <cellStyle name="Link" xfId="1843" builtinId="8" hidden="1"/>
    <cellStyle name="Link" xfId="1845" builtinId="8" hidden="1"/>
    <cellStyle name="Link" xfId="1847" builtinId="8" hidden="1"/>
    <cellStyle name="Link" xfId="1849" builtinId="8" hidden="1"/>
    <cellStyle name="Link" xfId="1851" builtinId="8" hidden="1"/>
    <cellStyle name="Link" xfId="1853" builtinId="8" hidden="1"/>
    <cellStyle name="Link" xfId="1855" builtinId="8" hidden="1"/>
    <cellStyle name="Link" xfId="1857" builtinId="8" hidden="1"/>
    <cellStyle name="Link" xfId="1859" builtinId="8" hidden="1"/>
    <cellStyle name="Link" xfId="1861" builtinId="8" hidden="1"/>
    <cellStyle name="Link" xfId="1863" builtinId="8" hidden="1"/>
    <cellStyle name="Link" xfId="1865" builtinId="8" hidden="1"/>
    <cellStyle name="Link" xfId="1867" builtinId="8" hidden="1"/>
    <cellStyle name="Link" xfId="1869" builtinId="8" hidden="1"/>
    <cellStyle name="Link" xfId="1871" builtinId="8" hidden="1"/>
    <cellStyle name="Link" xfId="1873" builtinId="8" hidden="1"/>
    <cellStyle name="Link" xfId="1875" builtinId="8" hidden="1"/>
    <cellStyle name="Link" xfId="1877" builtinId="8" hidden="1"/>
    <cellStyle name="Link" xfId="1879" builtinId="8" hidden="1"/>
    <cellStyle name="Link" xfId="1881" builtinId="8" hidden="1"/>
    <cellStyle name="Link" xfId="1883" builtinId="8" hidden="1"/>
    <cellStyle name="Link" xfId="1885" builtinId="8" hidden="1"/>
    <cellStyle name="Link" xfId="1887" builtinId="8" hidden="1"/>
    <cellStyle name="Link" xfId="1889" builtinId="8" hidden="1"/>
    <cellStyle name="Link" xfId="1891" builtinId="8" hidden="1"/>
    <cellStyle name="Link" xfId="1893" builtinId="8" hidden="1"/>
    <cellStyle name="Link" xfId="1895" builtinId="8" hidden="1"/>
    <cellStyle name="Link" xfId="1897" builtinId="8" hidden="1"/>
    <cellStyle name="Link" xfId="1899" builtinId="8" hidden="1"/>
    <cellStyle name="Link" xfId="1901" builtinId="8" hidden="1"/>
    <cellStyle name="Link" xfId="1903" builtinId="8" hidden="1"/>
    <cellStyle name="Link" xfId="1905" builtinId="8" hidden="1"/>
    <cellStyle name="Link" xfId="1907" builtinId="8" hidden="1"/>
    <cellStyle name="Link" xfId="1909" builtinId="8" hidden="1"/>
    <cellStyle name="Link" xfId="1911" builtinId="8" hidden="1"/>
    <cellStyle name="Link" xfId="1913" builtinId="8" hidden="1"/>
    <cellStyle name="Link" xfId="1915" builtinId="8" hidden="1"/>
    <cellStyle name="Link" xfId="1917" builtinId="8" hidden="1"/>
    <cellStyle name="Link" xfId="1919" builtinId="8" hidden="1"/>
    <cellStyle name="Link" xfId="1921" builtinId="8" hidden="1"/>
    <cellStyle name="Prozent" xfId="1" builtinId="5"/>
    <cellStyle name="Prozent 2" xfId="1926" xr:uid="{63B83144-6955-574A-9AA4-8282E7F5F988}"/>
    <cellStyle name="Standard" xfId="0" builtinId="0"/>
    <cellStyle name="Standard 2" xfId="1923" xr:uid="{81B64346-B639-5B41-865F-FA5249C2CD9E}"/>
    <cellStyle name="Standard 2 2" xfId="1924" xr:uid="{B507263C-3DB3-1B4D-B822-A673A601CE48}"/>
    <cellStyle name="Standard 3" xfId="1925" xr:uid="{06FAC0C5-98AF-CC41-B74F-DA44E955BB66}"/>
    <cellStyle name="Währung" xfId="2" builtinId="4"/>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DCA"/>
      <color rgb="FFFFF000"/>
      <color rgb="FFC9DC00"/>
      <color rgb="FFDEDC00"/>
      <color rgb="FFE3FF00"/>
      <color rgb="FF005E5E"/>
      <color rgb="FF005E33"/>
      <color rgb="FFE2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6:G46"/>
  <sheetViews>
    <sheetView showGridLines="0" zoomScale="144" zoomScaleNormal="150" zoomScalePageLayoutView="150" workbookViewId="0">
      <selection activeCell="F41" sqref="F41"/>
    </sheetView>
  </sheetViews>
  <sheetFormatPr baseColWidth="10" defaultColWidth="11.19921875" defaultRowHeight="13"/>
  <cols>
    <col min="1" max="16384" width="11.19921875" style="196"/>
  </cols>
  <sheetData>
    <row r="6" spans="6:6" ht="45">
      <c r="F6" s="368" t="s">
        <v>541</v>
      </c>
    </row>
    <row r="14" spans="6:6">
      <c r="F14" s="196" t="s">
        <v>542</v>
      </c>
    </row>
    <row r="21" spans="5:7">
      <c r="E21" s="211"/>
    </row>
    <row r="22" spans="5:7" ht="20">
      <c r="F22" s="369"/>
    </row>
    <row r="25" spans="5:7">
      <c r="F25" s="202" t="s">
        <v>543</v>
      </c>
    </row>
    <row r="28" spans="5:7">
      <c r="F28" s="202" t="s">
        <v>544</v>
      </c>
      <c r="G28" s="660"/>
    </row>
    <row r="29" spans="5:7">
      <c r="F29" s="202" t="s">
        <v>545</v>
      </c>
      <c r="G29" s="370"/>
    </row>
    <row r="30" spans="5:7">
      <c r="F30" s="202" t="s">
        <v>352</v>
      </c>
    </row>
    <row r="31" spans="5:7">
      <c r="F31" s="202" t="s">
        <v>546</v>
      </c>
    </row>
    <row r="34" spans="5:6">
      <c r="F34" s="202" t="s">
        <v>547</v>
      </c>
    </row>
    <row r="35" spans="5:6">
      <c r="F35" s="514"/>
    </row>
    <row r="36" spans="5:6">
      <c r="E36" s="211"/>
      <c r="F36" s="514"/>
    </row>
    <row r="37" spans="5:6">
      <c r="E37" s="211"/>
      <c r="F37" s="514"/>
    </row>
    <row r="38" spans="5:6">
      <c r="F38" s="514"/>
    </row>
    <row r="39" spans="5:6">
      <c r="F39" s="514"/>
    </row>
    <row r="40" spans="5:6">
      <c r="F40" s="514" t="s">
        <v>550</v>
      </c>
    </row>
    <row r="41" spans="5:6">
      <c r="F41" s="514"/>
    </row>
    <row r="42" spans="5:6">
      <c r="F42" s="514"/>
    </row>
    <row r="43" spans="5:6">
      <c r="F43" s="514"/>
    </row>
    <row r="44" spans="5:6">
      <c r="F44" s="514"/>
    </row>
    <row r="45" spans="5:6">
      <c r="F45" s="514"/>
    </row>
    <row r="46" spans="5:6">
      <c r="F46" s="514"/>
    </row>
  </sheetData>
  <phoneticPr fontId="6" type="noConversion"/>
  <pageMargins left="0.75000000000000011" right="0.75000000000000011" top="0.984251969" bottom="0.984251969" header="0.5" footer="0.5"/>
  <pageSetup paperSize="1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AA1B-A38F-C748-B94F-80129C4CA055}">
  <dimension ref="B3:L23"/>
  <sheetViews>
    <sheetView topLeftCell="A3" zoomScale="170" zoomScaleNormal="170" workbookViewId="0">
      <selection activeCell="B22" sqref="B22:J22"/>
    </sheetView>
  </sheetViews>
  <sheetFormatPr baseColWidth="10" defaultRowHeight="13"/>
  <cols>
    <col min="3" max="3" width="12.796875" customWidth="1"/>
  </cols>
  <sheetData>
    <row r="3" spans="2:12" ht="21">
      <c r="B3" s="1009" t="s">
        <v>528</v>
      </c>
    </row>
    <row r="5" spans="2:12">
      <c r="B5" s="663" t="s">
        <v>529</v>
      </c>
      <c r="C5" t="s">
        <v>530</v>
      </c>
    </row>
    <row r="6" spans="2:12">
      <c r="C6" s="1008" t="s">
        <v>307</v>
      </c>
      <c r="D6" t="s">
        <v>531</v>
      </c>
    </row>
    <row r="7" spans="2:12">
      <c r="C7" s="1008" t="s">
        <v>308</v>
      </c>
      <c r="D7" t="s">
        <v>532</v>
      </c>
    </row>
    <row r="8" spans="2:12" ht="45" customHeight="1">
      <c r="C8" s="1196" t="s">
        <v>46</v>
      </c>
      <c r="D8" s="1197"/>
      <c r="E8" s="1198" t="s">
        <v>533</v>
      </c>
      <c r="F8" s="1198"/>
      <c r="G8" s="1198"/>
      <c r="H8" s="1198"/>
      <c r="I8" s="1198"/>
      <c r="J8" s="1198"/>
      <c r="K8" s="1198"/>
      <c r="L8" s="1198"/>
    </row>
    <row r="9" spans="2:12" ht="37" customHeight="1">
      <c r="C9" s="1008" t="s">
        <v>309</v>
      </c>
      <c r="E9" s="1195" t="s">
        <v>534</v>
      </c>
      <c r="F9" s="1195"/>
      <c r="G9" s="1195"/>
      <c r="H9" s="1195"/>
      <c r="I9" s="1195"/>
      <c r="J9" s="1195"/>
      <c r="K9" s="1195"/>
      <c r="L9" s="1195"/>
    </row>
    <row r="10" spans="2:12" ht="25" customHeight="1">
      <c r="C10" s="1008" t="s">
        <v>310</v>
      </c>
      <c r="E10" s="1195" t="s">
        <v>535</v>
      </c>
      <c r="F10" s="1195"/>
      <c r="G10" s="1195"/>
      <c r="H10" s="1195"/>
      <c r="I10" s="1195"/>
      <c r="J10" s="1195"/>
      <c r="K10" s="1195"/>
      <c r="L10" s="1195"/>
    </row>
    <row r="12" spans="2:12">
      <c r="B12" s="663" t="s">
        <v>536</v>
      </c>
    </row>
    <row r="13" spans="2:12" ht="27" customHeight="1">
      <c r="B13" s="1199" t="s">
        <v>579</v>
      </c>
      <c r="C13" s="1199"/>
      <c r="D13" s="1199"/>
      <c r="E13" s="1199"/>
      <c r="F13" s="1199"/>
      <c r="G13" s="1199"/>
      <c r="H13" s="1199"/>
      <c r="I13" s="1199"/>
      <c r="J13" s="1199"/>
    </row>
    <row r="14" spans="2:12">
      <c r="B14" s="1200" t="s">
        <v>537</v>
      </c>
      <c r="C14" s="1200"/>
      <c r="D14" s="1200"/>
      <c r="E14" s="1200"/>
      <c r="F14" s="1200"/>
      <c r="G14" s="1200"/>
      <c r="H14" s="1200"/>
      <c r="I14" s="1200"/>
      <c r="J14" s="1200"/>
    </row>
    <row r="15" spans="2:12" ht="5" customHeight="1">
      <c r="B15" s="1199"/>
      <c r="C15" s="1199"/>
      <c r="D15" s="1199"/>
      <c r="E15" s="1199"/>
      <c r="F15" s="1199"/>
      <c r="G15" s="1199"/>
      <c r="H15" s="1199"/>
      <c r="I15" s="1199"/>
      <c r="J15" s="1199"/>
    </row>
    <row r="16" spans="2:12" ht="25" customHeight="1">
      <c r="B16" s="1199" t="s">
        <v>538</v>
      </c>
      <c r="C16" s="1199"/>
      <c r="D16" s="1199"/>
      <c r="E16" s="1199"/>
      <c r="F16" s="1199"/>
      <c r="G16" s="1199"/>
      <c r="H16" s="1199"/>
      <c r="I16" s="1199"/>
      <c r="J16" s="1199"/>
    </row>
    <row r="17" spans="2:10" ht="7" customHeight="1">
      <c r="B17" s="1199"/>
      <c r="C17" s="1199"/>
      <c r="D17" s="1199"/>
      <c r="E17" s="1199"/>
      <c r="F17" s="1199"/>
      <c r="G17" s="1199"/>
      <c r="H17" s="1199"/>
      <c r="I17" s="1199"/>
      <c r="J17" s="1199"/>
    </row>
    <row r="18" spans="2:10">
      <c r="B18" s="1194" t="s">
        <v>539</v>
      </c>
      <c r="C18" s="1194"/>
      <c r="D18" s="1194"/>
      <c r="E18" s="1194"/>
      <c r="F18" s="1194"/>
      <c r="G18" s="1194"/>
      <c r="H18" s="1194"/>
      <c r="I18" s="1194"/>
      <c r="J18" s="1194"/>
    </row>
    <row r="19" spans="2:10" ht="5" customHeight="1"/>
    <row r="20" spans="2:10">
      <c r="B20" s="1194" t="s">
        <v>580</v>
      </c>
      <c r="C20" s="1194"/>
      <c r="D20" s="1194"/>
      <c r="E20" s="1194"/>
      <c r="F20" s="1194"/>
      <c r="G20" s="1194"/>
      <c r="H20" s="1194"/>
      <c r="I20" s="1194"/>
      <c r="J20" s="1194"/>
    </row>
    <row r="21" spans="2:10" ht="5" customHeight="1"/>
    <row r="22" spans="2:10">
      <c r="B22" s="1194" t="s">
        <v>540</v>
      </c>
      <c r="C22" s="1194"/>
      <c r="D22" s="1194"/>
      <c r="E22" s="1194"/>
      <c r="F22" s="1194"/>
      <c r="G22" s="1194"/>
      <c r="H22" s="1194"/>
      <c r="I22" s="1194"/>
      <c r="J22" s="1194"/>
    </row>
    <row r="23" spans="2:10" ht="5" customHeight="1"/>
  </sheetData>
  <mergeCells count="12">
    <mergeCell ref="B20:J20"/>
    <mergeCell ref="B22:J22"/>
    <mergeCell ref="E9:L9"/>
    <mergeCell ref="E10:L10"/>
    <mergeCell ref="C8:D8"/>
    <mergeCell ref="E8:L8"/>
    <mergeCell ref="B13:J13"/>
    <mergeCell ref="B15:J15"/>
    <mergeCell ref="B16:J16"/>
    <mergeCell ref="B17:J17"/>
    <mergeCell ref="B14:J14"/>
    <mergeCell ref="B18:J18"/>
  </mergeCells>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K32"/>
  <sheetViews>
    <sheetView showGridLines="0" zoomScale="140" zoomScaleNormal="140" workbookViewId="0">
      <selection activeCell="D23" sqref="D23"/>
    </sheetView>
  </sheetViews>
  <sheetFormatPr baseColWidth="10" defaultColWidth="10.796875" defaultRowHeight="13"/>
  <cols>
    <col min="1" max="1" width="2.19921875" style="347" customWidth="1"/>
    <col min="2" max="2" width="25.796875" style="347" customWidth="1"/>
    <col min="3" max="3" width="13.796875" style="347" customWidth="1"/>
    <col min="4" max="4" width="12.796875" style="347" customWidth="1"/>
    <col min="5" max="5" width="11.19921875" style="347" customWidth="1"/>
    <col min="6" max="7" width="10.796875" style="347"/>
    <col min="8" max="8" width="15.796875" style="347" customWidth="1"/>
    <col min="9" max="9" width="10.796875" style="347"/>
    <col min="10" max="10" width="11.796875" style="347" customWidth="1"/>
    <col min="11" max="11" width="3.796875" style="347" customWidth="1"/>
    <col min="12" max="16384" width="10.796875" style="347"/>
  </cols>
  <sheetData>
    <row r="1" spans="2:11">
      <c r="B1" s="346"/>
      <c r="E1" s="348" t="s">
        <v>23</v>
      </c>
      <c r="J1" s="349"/>
      <c r="K1" s="349"/>
    </row>
    <row r="2" spans="2:11">
      <c r="B2" s="889"/>
      <c r="C2" s="890"/>
      <c r="D2" s="890"/>
      <c r="E2" s="890" t="s">
        <v>313</v>
      </c>
      <c r="F2" s="890"/>
      <c r="G2" s="890"/>
      <c r="H2" s="890"/>
      <c r="I2" s="890"/>
      <c r="J2" s="890"/>
      <c r="K2" s="891"/>
    </row>
    <row r="3" spans="2:11">
      <c r="B3" s="350"/>
      <c r="C3" s="351"/>
      <c r="D3" s="351"/>
      <c r="E3" s="351"/>
      <c r="F3" s="351"/>
      <c r="G3" s="351"/>
      <c r="H3" s="351"/>
      <c r="I3" s="351"/>
      <c r="J3" s="351"/>
      <c r="K3" s="352"/>
    </row>
    <row r="4" spans="2:11">
      <c r="B4" s="353" t="s">
        <v>355</v>
      </c>
      <c r="C4" s="354"/>
      <c r="D4" s="1206" t="s">
        <v>354</v>
      </c>
      <c r="E4" s="1213"/>
      <c r="F4" s="1213"/>
      <c r="G4" s="1213"/>
      <c r="H4" s="1207"/>
      <c r="K4" s="355"/>
    </row>
    <row r="5" spans="2:11">
      <c r="B5" s="356"/>
      <c r="K5" s="355"/>
    </row>
    <row r="6" spans="2:11">
      <c r="B6" s="356" t="s">
        <v>356</v>
      </c>
      <c r="D6" s="892">
        <v>2023</v>
      </c>
      <c r="E6" s="893">
        <f>+D6+1</f>
        <v>2024</v>
      </c>
      <c r="F6" s="893">
        <f t="shared" ref="F6:G6" si="0">+E6+1</f>
        <v>2025</v>
      </c>
      <c r="G6" s="893">
        <f t="shared" si="0"/>
        <v>2026</v>
      </c>
      <c r="H6" s="893">
        <f>+G6+1</f>
        <v>2027</v>
      </c>
      <c r="I6" s="1208"/>
      <c r="J6" s="1208"/>
      <c r="K6" s="357"/>
    </row>
    <row r="7" spans="2:11">
      <c r="B7" s="358"/>
      <c r="C7" s="359"/>
      <c r="D7" s="668"/>
      <c r="E7" s="1214"/>
      <c r="F7" s="1208"/>
      <c r="G7" s="1208"/>
      <c r="H7" s="1208"/>
      <c r="I7" s="1208"/>
      <c r="J7" s="1208"/>
      <c r="K7" s="357"/>
    </row>
    <row r="8" spans="2:11">
      <c r="B8" s="358" t="s">
        <v>357</v>
      </c>
      <c r="D8" s="894" t="s">
        <v>358</v>
      </c>
      <c r="E8" s="353"/>
      <c r="K8" s="355"/>
    </row>
    <row r="9" spans="2:11">
      <c r="B9" s="358" t="s">
        <v>359</v>
      </c>
      <c r="C9" s="359"/>
      <c r="D9" s="1206" t="s">
        <v>360</v>
      </c>
      <c r="E9" s="1213"/>
      <c r="F9" s="1207"/>
      <c r="G9" s="1214" t="s">
        <v>312</v>
      </c>
      <c r="H9" s="1208"/>
      <c r="I9" s="1208"/>
      <c r="J9" s="1208"/>
      <c r="K9" s="357"/>
    </row>
    <row r="10" spans="2:11">
      <c r="B10" s="356"/>
      <c r="D10" s="1206" t="s">
        <v>361</v>
      </c>
      <c r="E10" s="1213"/>
      <c r="F10" s="1207"/>
      <c r="G10" s="1208"/>
      <c r="H10" s="1208"/>
      <c r="I10" s="1208"/>
      <c r="J10" s="1208"/>
      <c r="K10" s="357"/>
    </row>
    <row r="11" spans="2:11">
      <c r="B11" s="356"/>
      <c r="D11" s="1206" t="s">
        <v>362</v>
      </c>
      <c r="E11" s="1213"/>
      <c r="F11" s="1207"/>
      <c r="G11" s="1208"/>
      <c r="H11" s="1208"/>
      <c r="I11" s="1208"/>
      <c r="J11" s="1208"/>
      <c r="K11" s="357"/>
    </row>
    <row r="12" spans="2:11">
      <c r="B12" s="356"/>
      <c r="D12" s="1203" t="s">
        <v>363</v>
      </c>
      <c r="E12" s="1204"/>
      <c r="F12" s="1205"/>
      <c r="G12" s="1208"/>
      <c r="H12" s="1208"/>
      <c r="I12" s="1208"/>
      <c r="J12" s="1208"/>
      <c r="K12" s="357"/>
    </row>
    <row r="13" spans="2:11">
      <c r="B13" s="356"/>
      <c r="D13" s="1203" t="s">
        <v>364</v>
      </c>
      <c r="E13" s="1204"/>
      <c r="F13" s="1205"/>
      <c r="H13" s="360" t="s">
        <v>248</v>
      </c>
      <c r="I13" s="1030">
        <v>0</v>
      </c>
      <c r="K13" s="355"/>
    </row>
    <row r="14" spans="2:11">
      <c r="B14" s="356"/>
      <c r="E14" s="361"/>
      <c r="H14" s="909" t="s">
        <v>353</v>
      </c>
      <c r="I14" s="361"/>
      <c r="K14" s="355"/>
    </row>
    <row r="15" spans="2:11">
      <c r="B15" s="1201" t="s">
        <v>311</v>
      </c>
      <c r="C15" s="1202"/>
      <c r="D15" s="1206" t="s">
        <v>365</v>
      </c>
      <c r="E15" s="1207"/>
      <c r="F15" s="362" t="s">
        <v>77</v>
      </c>
      <c r="J15" s="363"/>
      <c r="K15" s="355"/>
    </row>
    <row r="16" spans="2:11">
      <c r="B16" s="1201" t="s">
        <v>367</v>
      </c>
      <c r="C16" s="1202"/>
      <c r="D16" s="895">
        <v>5.5E-2</v>
      </c>
      <c r="E16" s="364"/>
      <c r="H16" s="358" t="s">
        <v>366</v>
      </c>
      <c r="I16" s="1031">
        <v>1.08</v>
      </c>
      <c r="J16" s="365" t="s">
        <v>162</v>
      </c>
      <c r="K16" s="355"/>
    </row>
    <row r="17" spans="2:11">
      <c r="B17" s="1201" t="s">
        <v>368</v>
      </c>
      <c r="C17" s="1202"/>
      <c r="D17" s="896">
        <v>0.15</v>
      </c>
      <c r="H17" s="909" t="s">
        <v>353</v>
      </c>
      <c r="I17" s="361"/>
      <c r="J17" s="361"/>
      <c r="K17" s="355"/>
    </row>
    <row r="18" spans="2:11">
      <c r="B18" s="1201" t="s">
        <v>371</v>
      </c>
      <c r="C18" s="1202"/>
      <c r="D18" s="897">
        <v>3.8</v>
      </c>
      <c r="E18" s="1208" t="s">
        <v>22</v>
      </c>
      <c r="F18" s="1208"/>
      <c r="G18" s="1208"/>
      <c r="H18" s="1208"/>
      <c r="I18" s="1208"/>
      <c r="J18" s="1208"/>
      <c r="K18" s="357"/>
    </row>
    <row r="19" spans="2:11">
      <c r="B19" s="1201" t="s">
        <v>372</v>
      </c>
      <c r="C19" s="1202"/>
      <c r="D19" s="898">
        <v>3.5000000000000003E-2</v>
      </c>
      <c r="K19" s="355"/>
    </row>
    <row r="20" spans="2:11">
      <c r="B20" s="499" t="s">
        <v>369</v>
      </c>
      <c r="C20" s="500"/>
      <c r="D20" s="899">
        <v>24500</v>
      </c>
      <c r="K20" s="355"/>
    </row>
    <row r="21" spans="2:11">
      <c r="B21" s="1201" t="s">
        <v>370</v>
      </c>
      <c r="C21" s="1202"/>
      <c r="D21" s="898">
        <v>0.16250000000000001</v>
      </c>
      <c r="E21" s="366"/>
      <c r="I21" s="667"/>
      <c r="K21" s="355"/>
    </row>
    <row r="22" spans="2:11">
      <c r="B22" s="1201" t="s">
        <v>373</v>
      </c>
      <c r="C22" s="1202"/>
      <c r="D22" s="900">
        <v>7.7999999999999996E-3</v>
      </c>
      <c r="E22" s="366"/>
      <c r="I22" s="667"/>
      <c r="K22" s="355"/>
    </row>
    <row r="23" spans="2:11">
      <c r="B23" s="1209" t="s">
        <v>374</v>
      </c>
      <c r="C23" s="1210"/>
      <c r="D23" s="901">
        <v>1000</v>
      </c>
      <c r="E23" s="347" t="s">
        <v>257</v>
      </c>
      <c r="F23" s="909" t="s">
        <v>376</v>
      </c>
      <c r="G23" s="363"/>
      <c r="I23" s="363"/>
      <c r="K23" s="355"/>
    </row>
    <row r="24" spans="2:11">
      <c r="B24" s="1211" t="s">
        <v>375</v>
      </c>
      <c r="C24" s="1212"/>
      <c r="D24" s="897">
        <v>0</v>
      </c>
      <c r="E24" s="906" t="s">
        <v>554</v>
      </c>
      <c r="F24" s="897">
        <v>0</v>
      </c>
      <c r="G24" s="908" t="s">
        <v>555</v>
      </c>
      <c r="H24" s="907">
        <v>0.3</v>
      </c>
      <c r="I24" s="364" t="s">
        <v>556</v>
      </c>
      <c r="J24" s="905">
        <v>0.15</v>
      </c>
      <c r="K24" s="355"/>
    </row>
    <row r="25" spans="2:11">
      <c r="B25" s="1201" t="s">
        <v>377</v>
      </c>
      <c r="C25" s="1202"/>
      <c r="D25" s="902">
        <v>3.0000000000000001E-3</v>
      </c>
      <c r="E25" s="347" t="s">
        <v>379</v>
      </c>
      <c r="G25" s="361"/>
      <c r="I25" s="361"/>
      <c r="K25" s="355"/>
    </row>
    <row r="26" spans="2:11">
      <c r="B26" s="1201" t="s">
        <v>378</v>
      </c>
      <c r="C26" s="1202"/>
      <c r="D26" s="903">
        <f>1.5625%/100</f>
        <v>1.5625E-4</v>
      </c>
      <c r="E26" s="363" t="s">
        <v>380</v>
      </c>
      <c r="F26" s="363"/>
      <c r="G26" s="363"/>
      <c r="H26" s="363"/>
      <c r="I26" s="363"/>
      <c r="J26" s="363"/>
      <c r="K26" s="354"/>
    </row>
    <row r="27" spans="2:11">
      <c r="B27" s="1201"/>
      <c r="C27" s="1202"/>
      <c r="D27" s="367"/>
      <c r="E27" s="363"/>
      <c r="F27" s="363"/>
      <c r="G27" s="363"/>
      <c r="H27" s="363"/>
      <c r="I27" s="363"/>
      <c r="J27" s="363"/>
      <c r="K27" s="354"/>
    </row>
    <row r="28" spans="2:11">
      <c r="B28" s="1201"/>
      <c r="C28" s="1202"/>
      <c r="D28" s="507"/>
      <c r="F28" s="363"/>
      <c r="G28" s="363"/>
      <c r="H28" s="363"/>
      <c r="I28" s="363"/>
      <c r="J28" s="363"/>
      <c r="K28" s="354"/>
    </row>
    <row r="29" spans="2:11">
      <c r="B29" s="1201" t="s">
        <v>381</v>
      </c>
      <c r="C29" s="1202"/>
      <c r="D29" s="904">
        <v>0.19</v>
      </c>
      <c r="E29" s="905">
        <v>7.0000000000000007E-2</v>
      </c>
      <c r="F29" s="363"/>
      <c r="G29" s="363"/>
      <c r="H29" s="363"/>
      <c r="I29" s="363"/>
      <c r="J29" s="363"/>
      <c r="K29" s="354"/>
    </row>
    <row r="31" spans="2:11">
      <c r="B31" s="910" t="s">
        <v>382</v>
      </c>
    </row>
    <row r="32" spans="2:11">
      <c r="C32" s="346"/>
      <c r="D32" s="346"/>
      <c r="E32" s="346"/>
      <c r="F32" s="346"/>
      <c r="G32" s="346"/>
    </row>
  </sheetData>
  <mergeCells count="25">
    <mergeCell ref="B25:C25"/>
    <mergeCell ref="D4:H4"/>
    <mergeCell ref="I6:J6"/>
    <mergeCell ref="E7:J7"/>
    <mergeCell ref="G9:J12"/>
    <mergeCell ref="D9:F9"/>
    <mergeCell ref="D10:F10"/>
    <mergeCell ref="D11:F11"/>
    <mergeCell ref="D12:F12"/>
    <mergeCell ref="B27:C27"/>
    <mergeCell ref="B28:C28"/>
    <mergeCell ref="B29:C29"/>
    <mergeCell ref="D13:F13"/>
    <mergeCell ref="D15:E15"/>
    <mergeCell ref="E18:J18"/>
    <mergeCell ref="B15:C15"/>
    <mergeCell ref="B16:C16"/>
    <mergeCell ref="B17:C17"/>
    <mergeCell ref="B18:C18"/>
    <mergeCell ref="B19:C19"/>
    <mergeCell ref="B26:C26"/>
    <mergeCell ref="B21:C21"/>
    <mergeCell ref="B22:C22"/>
    <mergeCell ref="B23:C23"/>
    <mergeCell ref="B24:C24"/>
  </mergeCells>
  <phoneticPr fontId="5" type="noConversion"/>
  <pageMargins left="0.75000000000000011" right="0.75000000000000011" top="0.98" bottom="0.98" header="0.5" footer="0.5"/>
  <pageSetup paperSize="10" orientation="landscape" horizontalDpi="4294967292" verticalDpi="4294967292"/>
  <headerFooter>
    <oddFooter>&amp;L&amp;"Lucida Grande,Standard"Business Case&amp;C&amp;"Lucida Grande,Standard"&amp;F&amp;R&amp;"Arial,Standard"&amp;D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2"/>
  <sheetViews>
    <sheetView showGridLines="0" zoomScale="160" zoomScaleNormal="160" zoomScaleSheetLayoutView="100" zoomScalePageLayoutView="125" workbookViewId="0">
      <pane xSplit="5" ySplit="6" topLeftCell="F7" activePane="bottomRight" state="frozen"/>
      <selection pane="topRight" activeCell="E1" sqref="E1"/>
      <selection pane="bottomLeft" activeCell="A7" sqref="A7"/>
      <selection pane="bottomRight" activeCell="U27" sqref="U27"/>
    </sheetView>
  </sheetViews>
  <sheetFormatPr baseColWidth="10" defaultColWidth="11.796875" defaultRowHeight="12"/>
  <cols>
    <col min="1" max="1" width="1.796875" style="371" customWidth="1"/>
    <col min="2" max="2" width="22.796875" style="371" hidden="1" customWidth="1"/>
    <col min="3" max="3" width="41.796875" style="371" hidden="1" customWidth="1"/>
    <col min="4" max="4" width="41.796875" style="371" customWidth="1"/>
    <col min="5" max="5" width="1" style="371" customWidth="1"/>
    <col min="6" max="16" width="8.796875" style="371" customWidth="1"/>
    <col min="17" max="17" width="7.796875" style="371" customWidth="1"/>
    <col min="18" max="18" width="1.19921875" style="371" customWidth="1"/>
    <col min="19" max="28" width="8.796875" style="371" customWidth="1"/>
    <col min="29" max="29" width="8" style="371" customWidth="1"/>
    <col min="30" max="30" width="7.3984375" style="371" customWidth="1"/>
    <col min="31" max="31" width="2" style="371" customWidth="1"/>
    <col min="32" max="43" width="8.796875" style="371" customWidth="1"/>
    <col min="44" max="16384" width="11.796875" style="371"/>
  </cols>
  <sheetData>
    <row r="1" spans="1:43" ht="11" customHeight="1">
      <c r="C1" s="845"/>
      <c r="AE1" s="845"/>
    </row>
    <row r="2" spans="1:43" ht="15.75" customHeight="1">
      <c r="A2" s="481"/>
      <c r="B2" s="482"/>
      <c r="C2" s="861"/>
      <c r="D2" s="862"/>
      <c r="E2" s="862"/>
      <c r="F2" s="862"/>
      <c r="G2" s="862"/>
      <c r="H2" s="862"/>
      <c r="I2" s="862"/>
      <c r="J2" s="862"/>
      <c r="K2" s="862"/>
      <c r="L2" s="862"/>
      <c r="M2" s="862"/>
      <c r="N2" s="862"/>
      <c r="O2" s="862"/>
      <c r="P2" s="862"/>
      <c r="Q2" s="862"/>
      <c r="R2" s="863"/>
      <c r="S2" s="862"/>
      <c r="T2" s="862"/>
      <c r="U2" s="862"/>
      <c r="V2" s="862"/>
      <c r="W2" s="862"/>
      <c r="X2" s="862"/>
      <c r="Y2" s="862"/>
      <c r="Z2" s="862"/>
      <c r="AA2" s="862"/>
      <c r="AB2" s="862"/>
      <c r="AC2" s="862"/>
      <c r="AD2" s="862"/>
      <c r="AE2" s="864"/>
      <c r="AF2" s="862"/>
      <c r="AG2" s="862"/>
      <c r="AH2" s="862"/>
      <c r="AI2" s="862"/>
      <c r="AJ2" s="862"/>
      <c r="AK2" s="862"/>
      <c r="AL2" s="862"/>
      <c r="AM2" s="862"/>
      <c r="AN2" s="862"/>
      <c r="AO2" s="862"/>
      <c r="AP2" s="862"/>
      <c r="AQ2" s="865"/>
    </row>
    <row r="3" spans="1:43">
      <c r="A3" s="483"/>
      <c r="B3" s="484" t="str">
        <f>+Parameter!D4&amp;", "&amp;Parameter!D15</f>
        <v>company name, Location</v>
      </c>
      <c r="C3" s="846" t="str">
        <f>+Parameter!$D$4&amp;", "&amp;Parameter!$D$15</f>
        <v>company name, Location</v>
      </c>
      <c r="D3" s="373"/>
      <c r="F3" s="911"/>
      <c r="G3" s="911"/>
      <c r="H3" s="911"/>
      <c r="I3" s="911"/>
      <c r="K3" s="866"/>
      <c r="L3" s="867" t="s">
        <v>384</v>
      </c>
      <c r="M3" s="868">
        <v>1000</v>
      </c>
      <c r="N3" s="869" t="s">
        <v>257</v>
      </c>
      <c r="O3" s="375"/>
      <c r="P3" s="375"/>
      <c r="Q3" s="375"/>
      <c r="R3" s="378"/>
      <c r="T3" s="375"/>
      <c r="X3" s="866"/>
      <c r="Y3" s="867" t="s">
        <v>384</v>
      </c>
      <c r="Z3" s="868">
        <v>1000</v>
      </c>
      <c r="AA3" s="869" t="s">
        <v>257</v>
      </c>
      <c r="AB3" s="375"/>
      <c r="AC3" s="375"/>
      <c r="AD3" s="375"/>
      <c r="AE3" s="845"/>
      <c r="AG3" s="375"/>
      <c r="AK3" s="866"/>
      <c r="AL3" s="867" t="s">
        <v>28</v>
      </c>
      <c r="AM3" s="868">
        <v>1000</v>
      </c>
      <c r="AN3" s="869" t="s">
        <v>257</v>
      </c>
      <c r="AO3" s="375"/>
      <c r="AP3" s="375"/>
      <c r="AQ3" s="870"/>
    </row>
    <row r="4" spans="1:43" ht="20">
      <c r="A4" s="485"/>
      <c r="B4" s="389" t="s">
        <v>266</v>
      </c>
      <c r="C4" s="847"/>
      <c r="D4" s="463"/>
      <c r="F4" s="662" t="str">
        <f>"Liquidity "&amp;Parameter!D6</f>
        <v>Liquidity 2023</v>
      </c>
      <c r="N4" s="376"/>
      <c r="R4" s="378"/>
      <c r="S4" s="662" t="str">
        <f>"Liquidity "&amp;Parameter!E6</f>
        <v>Liquidity 2024</v>
      </c>
      <c r="AA4" s="376"/>
      <c r="AE4" s="845"/>
      <c r="AF4" s="662" t="str">
        <f>"Liquidity "&amp;Parameter!F6</f>
        <v>Liquidity 2025</v>
      </c>
      <c r="AN4" s="376"/>
      <c r="AQ4" s="845"/>
    </row>
    <row r="5" spans="1:43" s="436" customFormat="1">
      <c r="A5" s="486"/>
      <c r="B5" s="487"/>
      <c r="C5" s="871"/>
      <c r="D5" s="458"/>
      <c r="E5" s="488"/>
      <c r="F5" s="838" t="s">
        <v>139</v>
      </c>
      <c r="G5" s="839" t="s">
        <v>139</v>
      </c>
      <c r="H5" s="839" t="s">
        <v>139</v>
      </c>
      <c r="I5" s="839" t="s">
        <v>139</v>
      </c>
      <c r="J5" s="839" t="s">
        <v>139</v>
      </c>
      <c r="K5" s="839" t="s">
        <v>139</v>
      </c>
      <c r="L5" s="839" t="s">
        <v>139</v>
      </c>
      <c r="M5" s="839" t="s">
        <v>139</v>
      </c>
      <c r="N5" s="839" t="s">
        <v>139</v>
      </c>
      <c r="O5" s="839" t="s">
        <v>139</v>
      </c>
      <c r="P5" s="839" t="s">
        <v>139</v>
      </c>
      <c r="Q5" s="840" t="s">
        <v>139</v>
      </c>
      <c r="R5" s="488"/>
      <c r="S5" s="838" t="s">
        <v>139</v>
      </c>
      <c r="T5" s="839" t="s">
        <v>139</v>
      </c>
      <c r="U5" s="839" t="s">
        <v>139</v>
      </c>
      <c r="V5" s="839" t="s">
        <v>139</v>
      </c>
      <c r="W5" s="839" t="s">
        <v>139</v>
      </c>
      <c r="X5" s="839" t="s">
        <v>139</v>
      </c>
      <c r="Y5" s="839" t="s">
        <v>139</v>
      </c>
      <c r="Z5" s="839" t="s">
        <v>139</v>
      </c>
      <c r="AA5" s="839" t="s">
        <v>139</v>
      </c>
      <c r="AB5" s="839" t="s">
        <v>139</v>
      </c>
      <c r="AC5" s="839" t="s">
        <v>139</v>
      </c>
      <c r="AD5" s="840" t="s">
        <v>139</v>
      </c>
      <c r="AE5" s="848"/>
      <c r="AF5" s="839" t="s">
        <v>139</v>
      </c>
      <c r="AG5" s="839" t="s">
        <v>139</v>
      </c>
      <c r="AH5" s="839" t="s">
        <v>139</v>
      </c>
      <c r="AI5" s="839" t="s">
        <v>139</v>
      </c>
      <c r="AJ5" s="839" t="s">
        <v>139</v>
      </c>
      <c r="AK5" s="839" t="s">
        <v>139</v>
      </c>
      <c r="AL5" s="839" t="s">
        <v>139</v>
      </c>
      <c r="AM5" s="839" t="s">
        <v>139</v>
      </c>
      <c r="AN5" s="839" t="s">
        <v>139</v>
      </c>
      <c r="AO5" s="839" t="s">
        <v>139</v>
      </c>
      <c r="AP5" s="839" t="s">
        <v>139</v>
      </c>
      <c r="AQ5" s="872" t="s">
        <v>139</v>
      </c>
    </row>
    <row r="6" spans="1:43" s="436" customFormat="1" ht="13">
      <c r="A6" s="486"/>
      <c r="B6" s="849" t="s">
        <v>29</v>
      </c>
      <c r="C6" s="1113" t="s">
        <v>492</v>
      </c>
      <c r="D6" s="1131" t="s">
        <v>491</v>
      </c>
      <c r="E6" s="1128"/>
      <c r="F6" s="489" t="s">
        <v>163</v>
      </c>
      <c r="G6" s="489" t="s">
        <v>164</v>
      </c>
      <c r="H6" s="489" t="s">
        <v>6</v>
      </c>
      <c r="I6" s="489" t="s">
        <v>7</v>
      </c>
      <c r="J6" s="489" t="s">
        <v>8</v>
      </c>
      <c r="K6" s="489" t="s">
        <v>9</v>
      </c>
      <c r="L6" s="489" t="s">
        <v>10</v>
      </c>
      <c r="M6" s="489" t="s">
        <v>11</v>
      </c>
      <c r="N6" s="489" t="s">
        <v>12</v>
      </c>
      <c r="O6" s="489" t="s">
        <v>13</v>
      </c>
      <c r="P6" s="489" t="s">
        <v>2</v>
      </c>
      <c r="Q6" s="489" t="s">
        <v>3</v>
      </c>
      <c r="R6" s="488"/>
      <c r="S6" s="489" t="s">
        <v>163</v>
      </c>
      <c r="T6" s="489" t="s">
        <v>164</v>
      </c>
      <c r="U6" s="489" t="s">
        <v>6</v>
      </c>
      <c r="V6" s="489" t="s">
        <v>7</v>
      </c>
      <c r="W6" s="489" t="s">
        <v>8</v>
      </c>
      <c r="X6" s="489" t="s">
        <v>9</v>
      </c>
      <c r="Y6" s="489" t="s">
        <v>10</v>
      </c>
      <c r="Z6" s="489" t="s">
        <v>11</v>
      </c>
      <c r="AA6" s="489" t="s">
        <v>12</v>
      </c>
      <c r="AB6" s="489" t="s">
        <v>13</v>
      </c>
      <c r="AC6" s="489" t="s">
        <v>2</v>
      </c>
      <c r="AD6" s="489" t="s">
        <v>3</v>
      </c>
      <c r="AF6" s="489" t="s">
        <v>163</v>
      </c>
      <c r="AG6" s="489" t="s">
        <v>164</v>
      </c>
      <c r="AH6" s="489" t="s">
        <v>6</v>
      </c>
      <c r="AI6" s="489" t="s">
        <v>7</v>
      </c>
      <c r="AJ6" s="489" t="s">
        <v>8</v>
      </c>
      <c r="AK6" s="489" t="s">
        <v>9</v>
      </c>
      <c r="AL6" s="489" t="s">
        <v>10</v>
      </c>
      <c r="AM6" s="489" t="s">
        <v>11</v>
      </c>
      <c r="AN6" s="489" t="s">
        <v>12</v>
      </c>
      <c r="AO6" s="489" t="s">
        <v>13</v>
      </c>
      <c r="AP6" s="489" t="s">
        <v>2</v>
      </c>
      <c r="AQ6" s="489" t="s">
        <v>3</v>
      </c>
    </row>
    <row r="7" spans="1:43" ht="14" customHeight="1">
      <c r="A7" s="483"/>
      <c r="B7" s="850" t="s">
        <v>41</v>
      </c>
      <c r="C7" s="1114" t="s">
        <v>295</v>
      </c>
      <c r="D7" s="1132" t="s">
        <v>490</v>
      </c>
      <c r="E7" s="1129"/>
      <c r="F7" s="490" cm="1">
        <f t="array" ref="F7">INDEX(Total_Net_Revenue_Y1,,MONTH(DATEVALUE(F$6&amp;" 1")))*(1+VAT_Rate_normal)/$M$3</f>
        <v>1.48749405</v>
      </c>
      <c r="G7" s="490" cm="1">
        <f t="array" ref="G7">INDEX(Total_Net_Revenue_Y1,,MONTH(DATEVALUE(G6&amp;" 1")))*(1+VAT_Rate_normal)/$M$3</f>
        <v>4.3434940499999994</v>
      </c>
      <c r="H7" s="490" cm="1">
        <f t="array" ref="H7">INDEX(Total_Net_Revenue_Y1,,MONTH(DATEVALUE(H6&amp;" 1")))*(1+VAT_Rate_normal)/$M$3</f>
        <v>12.197494049999998</v>
      </c>
      <c r="I7" s="490" cm="1">
        <f t="array" ref="I7">INDEX(Total_Net_Revenue_Y1,,MONTH(DATEVALUE(I6&amp;" 1")))*(1+VAT_Rate_normal)/$M$3</f>
        <v>9.3414940499999997</v>
      </c>
      <c r="J7" s="490" cm="1">
        <f t="array" ref="J7">INDEX(Total_Net_Revenue_Y1,,MONTH(DATEVALUE(J6&amp;" 1")))*(1+VAT_Rate_normal)/$M$3</f>
        <v>10.174494050000002</v>
      </c>
      <c r="K7" s="490" cm="1">
        <f t="array" ref="K7">INDEX(Total_Net_Revenue_Y1,,MONTH(DATEVALUE(K6&amp;" 1")))*(1+VAT_Rate_normal)/$M$3</f>
        <v>15.767494050000002</v>
      </c>
      <c r="L7" s="490" cm="1">
        <f t="array" ref="L7">INDEX(Total_Net_Revenue_Y1,,MONTH(DATEVALUE(L6&amp;" 1")))*(1+VAT_Rate_normal)/$M$3</f>
        <v>9.8174940500000005</v>
      </c>
      <c r="M7" s="490" cm="1">
        <f t="array" ref="M7">INDEX(Total_Net_Revenue_Y1,,MONTH(DATEVALUE(M6&amp;" 1")))*(1+VAT_Rate_normal)/$M$3</f>
        <v>10.650494050000001</v>
      </c>
      <c r="N7" s="490" cm="1">
        <f t="array" ref="N7">INDEX(Total_Net_Revenue_Y1,,MONTH(DATEVALUE(N6&amp;" 1")))*(1+VAT_Rate_normal)/$M$3</f>
        <v>17.909494050000003</v>
      </c>
      <c r="O7" s="490" cm="1">
        <f t="array" ref="O7">INDEX(Total_Net_Revenue_Y1,,MONTH(DATEVALUE(O6&amp;" 1")))*(1+VAT_Rate_normal)/$M$3</f>
        <v>12.078494050000002</v>
      </c>
      <c r="P7" s="490" cm="1">
        <f t="array" ref="P7">INDEX(Total_Net_Revenue_Y1,,MONTH(DATEVALUE(P6&amp;" 1")))*(1+VAT_Rate_normal)/$M$3</f>
        <v>11.483494050000001</v>
      </c>
      <c r="Q7" s="490" cm="1">
        <f t="array" ref="Q7">INDEX(Total_Net_Revenue_Y1,,MONTH(DATEVALUE(Q6&amp;" 1")))*(1+VAT_Rate_normal)/$M$3</f>
        <v>13.268494050000001</v>
      </c>
      <c r="R7" s="378"/>
      <c r="S7" s="490" cm="1">
        <f t="array" ref="S7">INDEX(Total_Net_Revenue_Y2,,MONTH(DATEVALUE(F6&amp;" 1")))*(1+VAT_Rate_normal)/$M$3</f>
        <v>3.5699881000000002</v>
      </c>
      <c r="T7" s="490" cm="1">
        <f t="array" ref="T7">INDEX(Total_Net_Revenue_Y2,,MONTH(DATEVALUE(G6&amp;" 1")))*(1+VAT_Rate_normal)/$M$3</f>
        <v>6.5806880999999997</v>
      </c>
      <c r="U7" s="490" cm="1">
        <f t="array" ref="U7">INDEX(Total_Net_Revenue_Y2,,MONTH(DATEVALUE(H6&amp;" 1")))*(1+VAT_Rate_normal)/$M$3</f>
        <v>17.433488099999998</v>
      </c>
      <c r="V7" s="490" cm="1">
        <f t="array" ref="V7">INDEX(Total_Net_Revenue_Y2,,MONTH(DATEVALUE(I6&amp;" 1")))*(1+VAT_Rate_normal)/$M$3</f>
        <v>12.352188099999999</v>
      </c>
      <c r="W7" s="490" cm="1">
        <f t="array" ref="W7">INDEX(Total_Net_Revenue_Y2,,MONTH(DATEVALUE(J6&amp;" 1")))*(1+VAT_Rate_normal)/$M$3</f>
        <v>15.231988099999999</v>
      </c>
      <c r="X7" s="490" cm="1">
        <f t="array" ref="X7">INDEX(Total_Net_Revenue_Y2,,MONTH(DATEVALUE(K6&amp;" 1")))*(1+VAT_Rate_normal)/$M$3</f>
        <v>22.728988099999995</v>
      </c>
      <c r="Y7" s="490" cm="1">
        <f t="array" ref="Y7">INDEX(Total_Net_Revenue_Y2,,MONTH(DATEVALUE(L6&amp;" 1")))*(1+VAT_Rate_normal)/$M$3</f>
        <v>14.398988099999999</v>
      </c>
      <c r="Z7" s="490" cm="1">
        <f t="array" ref="Z7">INDEX(Total_Net_Revenue_Y2,,MONTH(DATEVALUE(M6&amp;" 1")))*(1+VAT_Rate_normal)/$M$3</f>
        <v>15.362888099999997</v>
      </c>
      <c r="AA7" s="490" cm="1">
        <f t="array" ref="AA7">INDEX(Total_Net_Revenue_Y2,,MONTH(DATEVALUE(N6&amp;" 1")))*(1+VAT_Rate_normal)/$M$3</f>
        <v>24.002288099999998</v>
      </c>
      <c r="AB7" s="490" cm="1">
        <f t="array" ref="AB7">INDEX(Total_Net_Revenue_Y2,,MONTH(DATEVALUE(O6&amp;" 1")))*(1+VAT_Rate_normal)/$M$3</f>
        <v>15.969788100000001</v>
      </c>
      <c r="AC7" s="490" cm="1">
        <f t="array" ref="AC7">INDEX(Total_Net_Revenue_Y2,,MONTH(DATEVALUE(P6&amp;" 1")))*(1+VAT_Rate_normal)/$M$3</f>
        <v>15.969788100000001</v>
      </c>
      <c r="AD7" s="490" cm="1">
        <f t="array" ref="AD7">INDEX(Total_Net_Revenue_Y2,,MONTH(DATEVALUE(Q6&amp;" 1")))*(1+VAT_Rate_normal)/$M$3</f>
        <v>17.992788100000002</v>
      </c>
      <c r="AF7" s="490" cm="1">
        <f t="array" ref="AF7">INDEX(Total_Net_Revenue_Y3,,MONTH(DATEVALUE(F6&amp;" 1")))*(1+VAT_Rate_normal)/$M$3</f>
        <v>7.4374702500000005</v>
      </c>
      <c r="AG7" s="490" cm="1">
        <f t="array" ref="AG7">INDEX(Total_Net_Revenue_Y3,,MONTH(DATEVALUE(G6&amp;" 1")))*(1+VAT_Rate_normal)/$M$3</f>
        <v>13.363670249999998</v>
      </c>
      <c r="AH7" s="490" cm="1">
        <f t="array" ref="AH7">INDEX(Total_Net_Revenue_Y3,,MONTH(DATEVALUE(H6&amp;" 1")))*(1+VAT_Rate_normal)/$M$3</f>
        <v>25.644470249999998</v>
      </c>
      <c r="AI7" s="490" cm="1">
        <f t="array" ref="AI7">INDEX(Total_Net_Revenue_Y3,,MONTH(DATEVALUE(I6&amp;" 1")))*(1+VAT_Rate_normal)/$M$3</f>
        <v>25.263670249999997</v>
      </c>
      <c r="AJ7" s="490" cm="1">
        <f t="array" ref="AJ7">INDEX(Total_Net_Revenue_Y3,,MONTH(DATEVALUE(J6&amp;" 1")))*(1+VAT_Rate_normal)/$M$3</f>
        <v>29.452470249999998</v>
      </c>
      <c r="AK7" s="490" cm="1">
        <f t="array" ref="AK7">INDEX(Total_Net_Revenue_Y3,,MONTH(DATEVALUE(K6&amp;" 1")))*(1+VAT_Rate_normal)/$M$3</f>
        <v>35.045470250000001</v>
      </c>
      <c r="AL7" s="490" cm="1">
        <f t="array" ref="AL7">INDEX(Total_Net_Revenue_Y3,,MONTH(DATEVALUE(L6&amp;" 1")))*(1+VAT_Rate_normal)/$M$3</f>
        <v>27.072470249999999</v>
      </c>
      <c r="AM7" s="490" cm="1">
        <f t="array" ref="AM7">INDEX(Total_Net_Revenue_Y3,,MONTH(DATEVALUE(M6&amp;" 1")))*(1+VAT_Rate_normal)/$M$3</f>
        <v>28.333870249999997</v>
      </c>
      <c r="AN7" s="490" cm="1">
        <f t="array" ref="AN7">INDEX(Total_Net_Revenue_Y3,,MONTH(DATEVALUE(N6&amp;" 1")))*(1+VAT_Rate_normal)/$M$3</f>
        <v>38.639270249999996</v>
      </c>
      <c r="AO7" s="490" cm="1">
        <f t="array" ref="AO7">INDEX(Total_Net_Revenue_Y3,,MONTH(DATEVALUE(O6&amp;" 1")))*(1+VAT_Rate_normal)/$M$3</f>
        <v>30.190270249999998</v>
      </c>
      <c r="AP7" s="490" cm="1">
        <f t="array" ref="AP7">INDEX(Total_Net_Revenue_Y3,,MONTH(DATEVALUE(P6&amp;" 1")))*(1+VAT_Rate_normal)/$M$3</f>
        <v>29.714270249999998</v>
      </c>
      <c r="AQ7" s="490" cm="1">
        <f t="array" ref="AQ7">INDEX(Total_Net_Revenue_Y3,,MONTH(DATEVALUE(Q6&amp;" 1")))*(1+VAT_Rate_normal)/$M$3</f>
        <v>29.952270250000002</v>
      </c>
    </row>
    <row r="8" spans="1:43" ht="14" customHeight="1">
      <c r="A8" s="483"/>
      <c r="B8" s="851" t="s">
        <v>40</v>
      </c>
      <c r="C8" s="1115" t="s">
        <v>142</v>
      </c>
      <c r="D8" s="1133" t="s">
        <v>494</v>
      </c>
      <c r="E8" s="1129"/>
      <c r="F8" s="724"/>
      <c r="G8" s="724"/>
      <c r="H8" s="724"/>
      <c r="I8" s="724"/>
      <c r="J8" s="724"/>
      <c r="K8" s="724"/>
      <c r="L8" s="724"/>
      <c r="M8" s="724"/>
      <c r="N8" s="724"/>
      <c r="O8" s="724"/>
      <c r="P8" s="724"/>
      <c r="Q8" s="724"/>
      <c r="R8" s="378"/>
      <c r="S8" s="724"/>
      <c r="T8" s="724"/>
      <c r="U8" s="724"/>
      <c r="V8" s="724"/>
      <c r="W8" s="724"/>
      <c r="X8" s="724"/>
      <c r="Y8" s="724"/>
      <c r="Z8" s="724"/>
      <c r="AA8" s="724"/>
      <c r="AB8" s="724"/>
      <c r="AC8" s="724"/>
      <c r="AD8" s="724"/>
      <c r="AF8" s="724"/>
      <c r="AG8" s="724"/>
      <c r="AH8" s="724"/>
      <c r="AI8" s="724"/>
      <c r="AJ8" s="724"/>
      <c r="AK8" s="724"/>
      <c r="AL8" s="724"/>
      <c r="AM8" s="724"/>
      <c r="AN8" s="724"/>
      <c r="AO8" s="724"/>
      <c r="AP8" s="724"/>
      <c r="AQ8" s="873"/>
    </row>
    <row r="9" spans="1:43" ht="14" customHeight="1">
      <c r="A9" s="483"/>
      <c r="B9" s="851" t="s">
        <v>39</v>
      </c>
      <c r="C9" s="1115" t="s">
        <v>106</v>
      </c>
      <c r="D9" s="1133" t="s">
        <v>495</v>
      </c>
      <c r="E9" s="1129"/>
      <c r="F9" s="724"/>
      <c r="G9" s="724"/>
      <c r="H9" s="724"/>
      <c r="I9" s="724"/>
      <c r="J9" s="724"/>
      <c r="K9" s="724"/>
      <c r="L9" s="724"/>
      <c r="M9" s="724"/>
      <c r="N9" s="724"/>
      <c r="O9" s="724"/>
      <c r="P9" s="724"/>
      <c r="Q9" s="724"/>
      <c r="R9" s="378"/>
      <c r="S9" s="724"/>
      <c r="T9" s="724"/>
      <c r="U9" s="724"/>
      <c r="V9" s="724"/>
      <c r="W9" s="724"/>
      <c r="X9" s="724"/>
      <c r="Y9" s="724"/>
      <c r="Z9" s="724"/>
      <c r="AA9" s="724"/>
      <c r="AB9" s="724"/>
      <c r="AC9" s="724"/>
      <c r="AD9" s="724"/>
      <c r="AF9" s="724"/>
      <c r="AG9" s="724"/>
      <c r="AH9" s="724"/>
      <c r="AI9" s="724"/>
      <c r="AJ9" s="724"/>
      <c r="AK9" s="724"/>
      <c r="AL9" s="724"/>
      <c r="AM9" s="724"/>
      <c r="AN9" s="724"/>
      <c r="AO9" s="724"/>
      <c r="AP9" s="724"/>
      <c r="AQ9" s="873"/>
    </row>
    <row r="10" spans="1:43" ht="14" customHeight="1">
      <c r="A10" s="483"/>
      <c r="B10" s="851" t="s">
        <v>38</v>
      </c>
      <c r="C10" s="1115" t="s">
        <v>245</v>
      </c>
      <c r="D10" s="1133" t="s">
        <v>496</v>
      </c>
      <c r="E10" s="1129"/>
      <c r="F10" s="724"/>
      <c r="G10" s="724"/>
      <c r="H10" s="724"/>
      <c r="I10" s="724"/>
      <c r="J10" s="724"/>
      <c r="K10" s="724"/>
      <c r="L10" s="724"/>
      <c r="M10" s="724"/>
      <c r="N10" s="724"/>
      <c r="O10" s="724"/>
      <c r="P10" s="724"/>
      <c r="Q10" s="724"/>
      <c r="R10" s="378"/>
      <c r="S10" s="724"/>
      <c r="T10" s="724"/>
      <c r="U10" s="724"/>
      <c r="V10" s="724"/>
      <c r="W10" s="724"/>
      <c r="X10" s="724"/>
      <c r="Y10" s="724"/>
      <c r="Z10" s="724"/>
      <c r="AA10" s="724"/>
      <c r="AB10" s="724"/>
      <c r="AC10" s="724"/>
      <c r="AD10" s="724"/>
      <c r="AF10" s="724"/>
      <c r="AG10" s="724"/>
      <c r="AH10" s="724"/>
      <c r="AI10" s="724"/>
      <c r="AJ10" s="724"/>
      <c r="AK10" s="724"/>
      <c r="AL10" s="724"/>
      <c r="AM10" s="724"/>
      <c r="AN10" s="724"/>
      <c r="AO10" s="724"/>
      <c r="AP10" s="724"/>
      <c r="AQ10" s="873"/>
    </row>
    <row r="11" spans="1:43" ht="14" customHeight="1">
      <c r="A11" s="483"/>
      <c r="B11" s="851" t="s">
        <v>37</v>
      </c>
      <c r="C11" s="1115" t="s">
        <v>143</v>
      </c>
      <c r="D11" s="1133" t="s">
        <v>497</v>
      </c>
      <c r="E11" s="1129"/>
      <c r="F11" s="724"/>
      <c r="G11" s="724"/>
      <c r="H11" s="724"/>
      <c r="I11" s="724"/>
      <c r="J11" s="724"/>
      <c r="K11" s="724"/>
      <c r="L11" s="724"/>
      <c r="M11" s="724"/>
      <c r="N11" s="724"/>
      <c r="O11" s="724"/>
      <c r="P11" s="724"/>
      <c r="Q11" s="724"/>
      <c r="R11" s="378"/>
      <c r="S11" s="724"/>
      <c r="T11" s="724"/>
      <c r="U11" s="724"/>
      <c r="V11" s="724"/>
      <c r="W11" s="724"/>
      <c r="X11" s="724"/>
      <c r="Y11" s="724"/>
      <c r="Z11" s="724"/>
      <c r="AA11" s="724"/>
      <c r="AB11" s="724"/>
      <c r="AC11" s="724"/>
      <c r="AD11" s="724"/>
      <c r="AF11" s="724"/>
      <c r="AG11" s="724"/>
      <c r="AH11" s="724"/>
      <c r="AI11" s="724"/>
      <c r="AJ11" s="724"/>
      <c r="AK11" s="724"/>
      <c r="AL11" s="724"/>
      <c r="AM11" s="724"/>
      <c r="AN11" s="724"/>
      <c r="AO11" s="724"/>
      <c r="AP11" s="724"/>
      <c r="AQ11" s="873"/>
    </row>
    <row r="12" spans="1:43" ht="14" customHeight="1">
      <c r="A12" s="483"/>
      <c r="B12" s="851" t="s">
        <v>36</v>
      </c>
      <c r="C12" s="1115" t="s">
        <v>144</v>
      </c>
      <c r="D12" s="1133" t="s">
        <v>498</v>
      </c>
      <c r="E12" s="1129"/>
      <c r="F12" s="749" t="s">
        <v>241</v>
      </c>
      <c r="G12" s="749" t="s">
        <v>241</v>
      </c>
      <c r="H12" s="749"/>
      <c r="I12" s="749"/>
      <c r="J12" s="749"/>
      <c r="K12" s="749"/>
      <c r="L12" s="749"/>
      <c r="M12" s="749"/>
      <c r="N12" s="749"/>
      <c r="O12" s="749"/>
      <c r="P12" s="749"/>
      <c r="Q12" s="749"/>
      <c r="R12" s="378"/>
      <c r="S12" s="749" t="s">
        <v>241</v>
      </c>
      <c r="T12" s="749" t="s">
        <v>241</v>
      </c>
      <c r="U12" s="749"/>
      <c r="V12" s="749"/>
      <c r="W12" s="749"/>
      <c r="X12" s="749"/>
      <c r="Y12" s="749"/>
      <c r="Z12" s="749"/>
      <c r="AA12" s="749"/>
      <c r="AB12" s="749"/>
      <c r="AC12" s="749"/>
      <c r="AD12" s="749"/>
      <c r="AF12" s="749" t="s">
        <v>241</v>
      </c>
      <c r="AG12" s="749" t="s">
        <v>241</v>
      </c>
      <c r="AH12" s="749"/>
      <c r="AI12" s="749"/>
      <c r="AJ12" s="749"/>
      <c r="AK12" s="749"/>
      <c r="AL12" s="749"/>
      <c r="AM12" s="749"/>
      <c r="AN12" s="749"/>
      <c r="AO12" s="749"/>
      <c r="AP12" s="749"/>
      <c r="AQ12" s="874"/>
    </row>
    <row r="13" spans="1:43" ht="14" customHeight="1">
      <c r="A13" s="483"/>
      <c r="B13" s="851" t="s">
        <v>246</v>
      </c>
      <c r="C13" s="1115" t="s">
        <v>155</v>
      </c>
      <c r="D13" s="1133" t="s">
        <v>502</v>
      </c>
      <c r="E13" s="1129"/>
      <c r="F13" s="724"/>
      <c r="G13" s="724"/>
      <c r="H13" s="724"/>
      <c r="I13" s="724"/>
      <c r="J13" s="724"/>
      <c r="K13" s="724"/>
      <c r="L13" s="724"/>
      <c r="M13" s="724"/>
      <c r="N13" s="724"/>
      <c r="O13" s="724"/>
      <c r="P13" s="724"/>
      <c r="Q13" s="724"/>
      <c r="R13" s="378"/>
      <c r="S13" s="724"/>
      <c r="T13" s="724"/>
      <c r="U13" s="724"/>
      <c r="V13" s="724"/>
      <c r="W13" s="724"/>
      <c r="X13" s="724"/>
      <c r="Y13" s="724"/>
      <c r="Z13" s="724"/>
      <c r="AA13" s="724"/>
      <c r="AB13" s="724"/>
      <c r="AC13" s="724"/>
      <c r="AD13" s="724"/>
      <c r="AF13" s="724"/>
      <c r="AG13" s="724"/>
      <c r="AH13" s="724"/>
      <c r="AI13" s="724"/>
      <c r="AJ13" s="724"/>
      <c r="AK13" s="724"/>
      <c r="AL13" s="724"/>
      <c r="AM13" s="724"/>
      <c r="AN13" s="724"/>
      <c r="AO13" s="724"/>
      <c r="AP13" s="724"/>
      <c r="AQ13" s="873"/>
    </row>
    <row r="14" spans="1:43" ht="14" customHeight="1">
      <c r="A14" s="483"/>
      <c r="B14" s="851" t="s">
        <v>42</v>
      </c>
      <c r="C14" s="1115" t="s">
        <v>499</v>
      </c>
      <c r="D14" s="1133" t="s">
        <v>501</v>
      </c>
      <c r="E14" s="1129"/>
      <c r="F14" s="724"/>
      <c r="G14" s="724"/>
      <c r="H14" s="724"/>
      <c r="I14" s="724"/>
      <c r="J14" s="724"/>
      <c r="K14" s="724"/>
      <c r="L14" s="724"/>
      <c r="M14" s="724"/>
      <c r="N14" s="724"/>
      <c r="O14" s="724"/>
      <c r="P14" s="724"/>
      <c r="Q14" s="724"/>
      <c r="R14" s="378"/>
      <c r="S14" s="724"/>
      <c r="T14" s="724"/>
      <c r="U14" s="724"/>
      <c r="V14" s="724"/>
      <c r="W14" s="724"/>
      <c r="X14" s="724"/>
      <c r="Y14" s="724"/>
      <c r="Z14" s="724"/>
      <c r="AA14" s="724"/>
      <c r="AB14" s="724"/>
      <c r="AC14" s="724"/>
      <c r="AD14" s="724"/>
      <c r="AF14" s="724"/>
      <c r="AG14" s="724"/>
      <c r="AH14" s="724"/>
      <c r="AI14" s="724"/>
      <c r="AJ14" s="724"/>
      <c r="AK14" s="724"/>
      <c r="AL14" s="724"/>
      <c r="AM14" s="724"/>
      <c r="AN14" s="724"/>
      <c r="AO14" s="724"/>
      <c r="AP14" s="724"/>
      <c r="AQ14" s="873"/>
    </row>
    <row r="15" spans="1:43" ht="14" customHeight="1">
      <c r="A15" s="483"/>
      <c r="B15" s="851" t="s">
        <v>43</v>
      </c>
      <c r="C15" s="1115" t="s">
        <v>145</v>
      </c>
      <c r="D15" s="1133" t="s">
        <v>500</v>
      </c>
      <c r="E15" s="1129"/>
      <c r="F15" s="724"/>
      <c r="G15" s="724"/>
      <c r="H15" s="724"/>
      <c r="I15" s="724"/>
      <c r="J15" s="724"/>
      <c r="K15" s="724"/>
      <c r="L15" s="724"/>
      <c r="M15" s="724"/>
      <c r="N15" s="724"/>
      <c r="O15" s="724"/>
      <c r="P15" s="724"/>
      <c r="Q15" s="724"/>
      <c r="R15" s="378"/>
      <c r="S15" s="724"/>
      <c r="T15" s="724"/>
      <c r="U15" s="724"/>
      <c r="V15" s="724"/>
      <c r="W15" s="724"/>
      <c r="X15" s="724"/>
      <c r="Y15" s="724"/>
      <c r="Z15" s="724"/>
      <c r="AA15" s="724"/>
      <c r="AB15" s="724"/>
      <c r="AC15" s="724"/>
      <c r="AD15" s="724"/>
      <c r="AF15" s="724"/>
      <c r="AG15" s="724"/>
      <c r="AH15" s="724"/>
      <c r="AI15" s="724"/>
      <c r="AJ15" s="724"/>
      <c r="AK15" s="724"/>
      <c r="AL15" s="724"/>
      <c r="AM15" s="724"/>
      <c r="AN15" s="724"/>
      <c r="AO15" s="724"/>
      <c r="AP15" s="724"/>
      <c r="AQ15" s="873"/>
    </row>
    <row r="16" spans="1:43" ht="14" customHeight="1">
      <c r="A16" s="483"/>
      <c r="B16" s="851" t="s">
        <v>44</v>
      </c>
      <c r="C16" s="1115" t="s">
        <v>146</v>
      </c>
      <c r="D16" s="1133" t="s">
        <v>503</v>
      </c>
      <c r="E16" s="1129"/>
      <c r="F16" s="724"/>
      <c r="G16" s="724"/>
      <c r="H16" s="724"/>
      <c r="I16" s="724"/>
      <c r="J16" s="724"/>
      <c r="K16" s="724"/>
      <c r="L16" s="724"/>
      <c r="M16" s="724"/>
      <c r="N16" s="724"/>
      <c r="O16" s="724"/>
      <c r="P16" s="724"/>
      <c r="Q16" s="724"/>
      <c r="R16" s="378"/>
      <c r="S16" s="724"/>
      <c r="T16" s="724"/>
      <c r="U16" s="724"/>
      <c r="V16" s="724"/>
      <c r="W16" s="724"/>
      <c r="X16" s="724"/>
      <c r="Y16" s="724"/>
      <c r="Z16" s="724"/>
      <c r="AA16" s="724"/>
      <c r="AB16" s="724"/>
      <c r="AC16" s="724"/>
      <c r="AD16" s="724"/>
      <c r="AF16" s="724"/>
      <c r="AG16" s="724"/>
      <c r="AH16" s="724"/>
      <c r="AI16" s="724"/>
      <c r="AJ16" s="724"/>
      <c r="AK16" s="724"/>
      <c r="AL16" s="724"/>
      <c r="AM16" s="724"/>
      <c r="AN16" s="724"/>
      <c r="AO16" s="724"/>
      <c r="AP16" s="724"/>
      <c r="AQ16" s="873"/>
    </row>
    <row r="17" spans="1:43" ht="14" customHeight="1">
      <c r="A17" s="483"/>
      <c r="B17" s="852"/>
      <c r="C17" s="1116" t="s">
        <v>294</v>
      </c>
      <c r="D17" s="1134" t="s">
        <v>504</v>
      </c>
      <c r="E17" s="420"/>
      <c r="F17" s="930">
        <v>25</v>
      </c>
      <c r="G17" s="491"/>
      <c r="H17" s="491"/>
      <c r="I17" s="491"/>
      <c r="J17" s="491"/>
      <c r="K17" s="491"/>
      <c r="L17" s="491"/>
      <c r="M17" s="491"/>
      <c r="N17" s="491"/>
      <c r="O17" s="491"/>
      <c r="P17" s="491"/>
      <c r="Q17" s="491"/>
      <c r="R17" s="378"/>
      <c r="S17" s="930">
        <f>IF(+Q47&gt;0,Q47,0)</f>
        <v>0</v>
      </c>
      <c r="T17" s="491"/>
      <c r="U17" s="491"/>
      <c r="V17" s="491"/>
      <c r="W17" s="491"/>
      <c r="X17" s="491"/>
      <c r="Y17" s="491"/>
      <c r="Z17" s="491"/>
      <c r="AA17" s="491"/>
      <c r="AB17" s="491"/>
      <c r="AC17" s="491"/>
      <c r="AD17" s="491"/>
      <c r="AE17" s="661"/>
      <c r="AF17" s="930">
        <f>IF(+AD47&gt;0,AD47,0)</f>
        <v>0</v>
      </c>
      <c r="AG17" s="491"/>
      <c r="AH17" s="491"/>
      <c r="AI17" s="491"/>
      <c r="AJ17" s="491"/>
      <c r="AK17" s="491"/>
      <c r="AL17" s="491"/>
      <c r="AM17" s="491"/>
      <c r="AN17" s="491"/>
      <c r="AO17" s="491"/>
      <c r="AP17" s="491"/>
      <c r="AQ17" s="875"/>
    </row>
    <row r="18" spans="1:43">
      <c r="A18" s="483"/>
      <c r="B18" s="853" t="s">
        <v>30</v>
      </c>
      <c r="C18" s="1117" t="s">
        <v>166</v>
      </c>
      <c r="D18" s="1135" t="s">
        <v>493</v>
      </c>
      <c r="E18" s="420"/>
      <c r="R18" s="378"/>
      <c r="AQ18" s="845"/>
    </row>
    <row r="19" spans="1:43">
      <c r="A19" s="483"/>
      <c r="B19" s="850" t="s">
        <v>169</v>
      </c>
      <c r="C19" s="1114" t="s">
        <v>147</v>
      </c>
      <c r="D19" s="1132" t="s">
        <v>505</v>
      </c>
      <c r="E19" s="1129"/>
      <c r="F19" s="912" cm="1">
        <f t="array" ref="F19">INDEX(Total_Production_Costs_Y1,,MONTH(DATEVALUE(F$6&amp;" 1")))*(1+VAT_Rate_normal)/$M$3</f>
        <v>0.71399999999999997</v>
      </c>
      <c r="G19" s="912" cm="1">
        <f t="array" ref="G19">INDEX(Total_Production_Costs_Y1,,MONTH(DATEVALUE(G$6&amp;" 1")))*(1+VAT_Rate_normal)/$M$3</f>
        <v>1.9635</v>
      </c>
      <c r="H19" s="912" cm="1">
        <f t="array" ref="H19">INDEX(Total_Production_Costs_Y1,,MONTH(DATEVALUE(H$6&amp;" 1")))*(1+VAT_Rate_normal)/$M$3</f>
        <v>2.7965</v>
      </c>
      <c r="I19" s="912" cm="1">
        <f t="array" ref="I19">INDEX(Total_Production_Costs_Y1,,MONTH(DATEVALUE(I$6&amp;" 1")))*(1+VAT_Rate_normal)/$M$3</f>
        <v>4.0460000000000003</v>
      </c>
      <c r="J19" s="912" cm="1">
        <f t="array" ref="J19">INDEX(Total_Production_Costs_Y1,,MONTH(DATEVALUE(J$6&amp;" 1")))*(1+VAT_Rate_normal)/$M$3</f>
        <v>4.8789999999999996</v>
      </c>
      <c r="K19" s="912" cm="1">
        <f t="array" ref="K19">INDEX(Total_Production_Costs_Y1,,MONTH(DATEVALUE(K$6&amp;" 1")))*(1+VAT_Rate_normal)/$M$3</f>
        <v>4.8789999999999996</v>
      </c>
      <c r="L19" s="912" cm="1">
        <f t="array" ref="L19">INDEX(Total_Production_Costs_Y1,,MONTH(DATEVALUE(L$6&amp;" 1")))*(1+VAT_Rate_normal)/$M$3</f>
        <v>4.8789999999999996</v>
      </c>
      <c r="M19" s="912" cm="1">
        <f t="array" ref="M19">INDEX(Total_Production_Costs_Y1,,MONTH(DATEVALUE(M$6&amp;" 1")))*(1+VAT_Rate_normal)/$M$3</f>
        <v>5.2954999999999997</v>
      </c>
      <c r="N19" s="912" cm="1">
        <f t="array" ref="N19">INDEX(Total_Production_Costs_Y1,,MONTH(DATEVALUE(N$6&amp;" 1")))*(1+VAT_Rate_normal)/$M$3</f>
        <v>5.7119999999999997</v>
      </c>
      <c r="O19" s="912" cm="1">
        <f t="array" ref="O19">INDEX(Total_Production_Costs_Y1,,MONTH(DATEVALUE(O$6&amp;" 1")))*(1+VAT_Rate_normal)/$M$3</f>
        <v>5.7119999999999997</v>
      </c>
      <c r="P19" s="912" cm="1">
        <f t="array" ref="P19">INDEX(Total_Production_Costs_Y1,,MONTH(DATEVALUE(P$6&amp;" 1")))*(1+VAT_Rate_normal)/$M$3</f>
        <v>5.7119999999999997</v>
      </c>
      <c r="Q19" s="912" cm="1">
        <f t="array" ref="Q19">INDEX(Total_Production_Costs_Y1,,MONTH(DATEVALUE(Q$6&amp;" 1")))*(1+VAT_Rate_normal)/$M$3</f>
        <v>3.6295000000000006</v>
      </c>
      <c r="R19" s="378"/>
      <c r="S19" s="912" cm="1">
        <f t="array" ref="S19">INDEX(Total_Production_Costs_Y2,,MONTH(DATEVALUE(S$6&amp;" 1")))*(1+VAT_Rate_normal)/$M$3</f>
        <v>1.1305000000000001</v>
      </c>
      <c r="T19" s="912" cm="1">
        <f t="array" ref="T19">INDEX(Total_Production_Costs_Y2,,MONTH(DATEVALUE(T$6&amp;" 1")))*(1+VAT_Rate_normal)/$M$3</f>
        <v>2.7548499999999998</v>
      </c>
      <c r="U19" s="912" cm="1">
        <f t="array" ref="U19">INDEX(Total_Production_Costs_Y2,,MONTH(DATEVALUE(U$6&amp;" 1")))*(1+VAT_Rate_normal)/$M$3</f>
        <v>3.8377500000000002</v>
      </c>
      <c r="V19" s="912" cm="1">
        <f t="array" ref="V19">INDEX(Total_Production_Costs_Y2,,MONTH(DATEVALUE(V$6&amp;" 1")))*(1+VAT_Rate_normal)/$M$3</f>
        <v>5.4620999999999995</v>
      </c>
      <c r="W19" s="912" cm="1">
        <f t="array" ref="W19">INDEX(Total_Production_Costs_Y2,,MONTH(DATEVALUE(W$6&amp;" 1")))*(1+VAT_Rate_normal)/$M$3</f>
        <v>6.5449999999999999</v>
      </c>
      <c r="X19" s="912" cm="1">
        <f t="array" ref="X19">INDEX(Total_Production_Costs_Y2,,MONTH(DATEVALUE(X$6&amp;" 1")))*(1+VAT_Rate_normal)/$M$3</f>
        <v>6.5449999999999999</v>
      </c>
      <c r="Y19" s="912" cm="1">
        <f t="array" ref="Y19">INDEX(Total_Production_Costs_Y2,,MONTH(DATEVALUE(Y$6&amp;" 1")))*(1+VAT_Rate_normal)/$M$3</f>
        <v>6.5449999999999999</v>
      </c>
      <c r="Z19" s="912" cm="1">
        <f t="array" ref="Z19">INDEX(Total_Production_Costs_Y2,,MONTH(DATEVALUE(Z$6&amp;" 1")))*(1+VAT_Rate_normal)/$M$3</f>
        <v>7.0864500000000001</v>
      </c>
      <c r="AA19" s="912" cm="1">
        <f t="array" ref="AA19">INDEX(Total_Production_Costs_Y2,,MONTH(DATEVALUE(AA$6&amp;" 1")))*(1+VAT_Rate_normal)/$M$3</f>
        <v>7.6278999999999995</v>
      </c>
      <c r="AB19" s="912" cm="1">
        <f t="array" ref="AB19">INDEX(Total_Production_Costs_Y2,,MONTH(DATEVALUE(AB$6&amp;" 1")))*(1+VAT_Rate_normal)/$M$3</f>
        <v>7.6278999999999995</v>
      </c>
      <c r="AC19" s="912" cm="1">
        <f t="array" ref="AC19">INDEX(Total_Production_Costs_Y2,,MONTH(DATEVALUE(AC$6&amp;" 1")))*(1+VAT_Rate_normal)/$M$3</f>
        <v>7.6278999999999995</v>
      </c>
      <c r="AD19" s="912" cm="1">
        <f t="array" ref="AD19">INDEX(Total_Production_Costs_Y2,,MONTH(DATEVALUE(AD$6&amp;" 1")))*(1+VAT_Rate_normal)/$M$3</f>
        <v>4.9206499999999993</v>
      </c>
      <c r="AF19" s="912" cm="1">
        <f t="array" ref="AF19">INDEX(Total_Production_Costs_Y3,,MONTH(DATEVALUE(AF$6&amp;" 1")))*(1+VAT_Rate_normal)/$M$3</f>
        <v>1.5469999999999999</v>
      </c>
      <c r="AG19" s="912" cm="1">
        <f t="array" ref="AG19">INDEX(Total_Production_Costs_Y3,,MONTH(DATEVALUE(AG$6&amp;" 1")))*(1+VAT_Rate_normal)/$M$3</f>
        <v>3.9032</v>
      </c>
      <c r="AH19" s="912" cm="1">
        <f t="array" ref="AH19">INDEX(Total_Production_Costs_Y3,,MONTH(DATEVALUE(AH$6&amp;" 1")))*(1+VAT_Rate_normal)/$M$3</f>
        <v>5.4740000000000002</v>
      </c>
      <c r="AI19" s="912" cm="1">
        <f t="array" ref="AI19">INDEX(Total_Production_Costs_Y3,,MONTH(DATEVALUE(AI$6&amp;" 1")))*(1+VAT_Rate_normal)/$M$3</f>
        <v>7.8301999999999996</v>
      </c>
      <c r="AJ19" s="912" cm="1">
        <f t="array" ref="AJ19">INDEX(Total_Production_Costs_Y3,,MONTH(DATEVALUE(AJ$6&amp;" 1")))*(1+VAT_Rate_normal)/$M$3</f>
        <v>9.4009999999999998</v>
      </c>
      <c r="AK19" s="912" cm="1">
        <f t="array" ref="AK19">INDEX(Total_Production_Costs_Y3,,MONTH(DATEVALUE(AK$6&amp;" 1")))*(1+VAT_Rate_normal)/$M$3</f>
        <v>9.4009999999999998</v>
      </c>
      <c r="AL19" s="912" cm="1">
        <f t="array" ref="AL19">INDEX(Total_Production_Costs_Y3,,MONTH(DATEVALUE(AL$6&amp;" 1")))*(1+VAT_Rate_normal)/$M$3</f>
        <v>9.4009999999999998</v>
      </c>
      <c r="AM19" s="912" cm="1">
        <f t="array" ref="AM19">INDEX(Total_Production_Costs_Y3,,MONTH(DATEVALUE(AM$6&amp;" 1")))*(1+VAT_Rate_normal)/$M$3</f>
        <v>10.186399999999999</v>
      </c>
      <c r="AN19" s="912" cm="1">
        <f t="array" ref="AN19">INDEX(Total_Production_Costs_Y3,,MONTH(DATEVALUE(AN$6&amp;" 1")))*(1+VAT_Rate_normal)/$M$3</f>
        <v>10.9718</v>
      </c>
      <c r="AO19" s="912" cm="1">
        <f t="array" ref="AO19">INDEX(Total_Production_Costs_Y3,,MONTH(DATEVALUE(AO$6&amp;" 1")))*(1+VAT_Rate_normal)/$M$3</f>
        <v>10.9718</v>
      </c>
      <c r="AP19" s="912" cm="1">
        <f t="array" ref="AP19">INDEX(Total_Production_Costs_Y3,,MONTH(DATEVALUE(AP$6&amp;" 1")))*(1+VAT_Rate_normal)/$M$3</f>
        <v>10.9718</v>
      </c>
      <c r="AQ19" s="912" cm="1">
        <f t="array" ref="AQ19">INDEX(Total_Production_Costs_Y3,,MONTH(DATEVALUE(AQ$6&amp;" 1")))*(1+VAT_Rate_normal)/$M$3</f>
        <v>7.0448000000000013</v>
      </c>
    </row>
    <row r="20" spans="1:43">
      <c r="A20" s="483"/>
      <c r="B20" s="851" t="s">
        <v>170</v>
      </c>
      <c r="C20" s="1115" t="s">
        <v>148</v>
      </c>
      <c r="D20" s="1133" t="s">
        <v>506</v>
      </c>
      <c r="E20" s="1129"/>
      <c r="F20" s="399">
        <f>+Payroll!J40</f>
        <v>22.27</v>
      </c>
      <c r="G20" s="399">
        <f>+Payroll!K40</f>
        <v>22.27</v>
      </c>
      <c r="H20" s="399">
        <f>+Payroll!L40</f>
        <v>22.27</v>
      </c>
      <c r="I20" s="399">
        <f>+Payroll!M40</f>
        <v>22.27</v>
      </c>
      <c r="J20" s="399">
        <f>+Payroll!N40</f>
        <v>22.27</v>
      </c>
      <c r="K20" s="399">
        <f>+Payroll!O40</f>
        <v>22.27</v>
      </c>
      <c r="L20" s="399">
        <f>+Payroll!P40</f>
        <v>22.27</v>
      </c>
      <c r="M20" s="399">
        <f>+Payroll!Q40</f>
        <v>22.27</v>
      </c>
      <c r="N20" s="399">
        <f>+Payroll!R40</f>
        <v>22.27</v>
      </c>
      <c r="O20" s="399">
        <f>+Payroll!S40</f>
        <v>22.27</v>
      </c>
      <c r="P20" s="399">
        <f>+Payroll!T40</f>
        <v>22.27</v>
      </c>
      <c r="Q20" s="399">
        <f>+Payroll!U40</f>
        <v>22.27</v>
      </c>
      <c r="R20" s="378"/>
      <c r="S20" s="399">
        <f>+Payroll!W40</f>
        <v>22.715399999999999</v>
      </c>
      <c r="T20" s="399">
        <f>+Payroll!X40</f>
        <v>22.715399999999999</v>
      </c>
      <c r="U20" s="399">
        <f>+Payroll!Y40</f>
        <v>22.715399999999999</v>
      </c>
      <c r="V20" s="399">
        <f>+Payroll!Z40</f>
        <v>22.715399999999999</v>
      </c>
      <c r="W20" s="399">
        <f>+Payroll!AA40</f>
        <v>22.715399999999999</v>
      </c>
      <c r="X20" s="399">
        <f>+Payroll!AB40</f>
        <v>22.715399999999999</v>
      </c>
      <c r="Y20" s="399">
        <f>+Payroll!AC40</f>
        <v>22.715399999999999</v>
      </c>
      <c r="Z20" s="399">
        <f>+Payroll!AD40</f>
        <v>22.715399999999999</v>
      </c>
      <c r="AA20" s="399">
        <f>+Payroll!AE40</f>
        <v>22.715399999999999</v>
      </c>
      <c r="AB20" s="399">
        <f>+Payroll!AF40</f>
        <v>22.715399999999999</v>
      </c>
      <c r="AC20" s="399">
        <f>+Payroll!AG40</f>
        <v>22.715399999999999</v>
      </c>
      <c r="AD20" s="399">
        <f>+Payroll!AH40</f>
        <v>22.715399999999999</v>
      </c>
      <c r="AF20" s="399">
        <f>+Payroll!AJ40</f>
        <v>23.851170000000003</v>
      </c>
      <c r="AG20" s="399">
        <f>+Payroll!AK40</f>
        <v>23.851170000000003</v>
      </c>
      <c r="AH20" s="399">
        <f>+Payroll!AL40</f>
        <v>23.851170000000003</v>
      </c>
      <c r="AI20" s="399">
        <f>+Payroll!AM40</f>
        <v>23.851170000000003</v>
      </c>
      <c r="AJ20" s="399">
        <f>+Payroll!AN40</f>
        <v>23.851170000000003</v>
      </c>
      <c r="AK20" s="399">
        <f>+Payroll!AO40</f>
        <v>23.851170000000003</v>
      </c>
      <c r="AL20" s="399">
        <f>+Payroll!AP40</f>
        <v>23.851170000000003</v>
      </c>
      <c r="AM20" s="399">
        <f>+Payroll!AQ40</f>
        <v>23.851170000000003</v>
      </c>
      <c r="AN20" s="399">
        <f>+Payroll!AR40</f>
        <v>23.851170000000003</v>
      </c>
      <c r="AO20" s="399">
        <f>+Payroll!AS40</f>
        <v>23.851170000000003</v>
      </c>
      <c r="AP20" s="399">
        <f>+Payroll!AT40</f>
        <v>23.851170000000003</v>
      </c>
      <c r="AQ20" s="876">
        <f>+Payroll!AU40</f>
        <v>23.851170000000003</v>
      </c>
    </row>
    <row r="21" spans="1:43">
      <c r="A21" s="483"/>
      <c r="B21" s="851" t="s">
        <v>38</v>
      </c>
      <c r="C21" s="1115" t="s">
        <v>489</v>
      </c>
      <c r="D21" s="1133" t="s">
        <v>507</v>
      </c>
      <c r="E21" s="1129"/>
      <c r="F21" s="399">
        <f>+Interest_Redemption!G38</f>
        <v>8.2916666666666666E-2</v>
      </c>
      <c r="G21" s="399">
        <f>+Interest_Redemption!H38</f>
        <v>8.2083333333333328E-2</v>
      </c>
      <c r="H21" s="399">
        <f>+Interest_Redemption!I38</f>
        <v>8.1250000000000003E-2</v>
      </c>
      <c r="I21" s="399">
        <f>+Interest_Redemption!J38</f>
        <v>8.0416666666666664E-2</v>
      </c>
      <c r="J21" s="399">
        <f>+Interest_Redemption!K38</f>
        <v>7.9583333333333339E-2</v>
      </c>
      <c r="K21" s="399">
        <f>+Interest_Redemption!L38</f>
        <v>7.8750000000000001E-2</v>
      </c>
      <c r="L21" s="399">
        <f>+Interest_Redemption!M38</f>
        <v>7.7916666666666676E-2</v>
      </c>
      <c r="M21" s="399">
        <f>+Interest_Redemption!N38</f>
        <v>7.7083333333333337E-2</v>
      </c>
      <c r="N21" s="399">
        <f>+Interest_Redemption!O38</f>
        <v>7.6250000000000012E-2</v>
      </c>
      <c r="O21" s="399">
        <f>+Interest_Redemption!P38</f>
        <v>7.541666666666666E-2</v>
      </c>
      <c r="P21" s="399">
        <f>+Interest_Redemption!Q38</f>
        <v>7.4583333333333335E-2</v>
      </c>
      <c r="Q21" s="399">
        <f>+Interest_Redemption!R38</f>
        <v>7.3749999999999996E-2</v>
      </c>
      <c r="R21" s="378"/>
      <c r="S21" s="399">
        <f>+Interest_Redemption!$T$38/3</f>
        <v>7.2083333333333319E-2</v>
      </c>
      <c r="T21" s="399">
        <f>+Interest_Redemption!$T$38/3</f>
        <v>7.2083333333333319E-2</v>
      </c>
      <c r="U21" s="399">
        <f>+Interest_Redemption!$T$38/3</f>
        <v>7.2083333333333319E-2</v>
      </c>
      <c r="V21" s="399">
        <f>+Interest_Redemption!$T$38/3</f>
        <v>7.2083333333333319E-2</v>
      </c>
      <c r="W21" s="399">
        <f>+Interest_Redemption!$T$38/3</f>
        <v>7.2083333333333319E-2</v>
      </c>
      <c r="X21" s="399">
        <f>+Interest_Redemption!$T$38/3</f>
        <v>7.2083333333333319E-2</v>
      </c>
      <c r="Y21" s="399">
        <f>+Interest_Redemption!$T$38/3</f>
        <v>7.2083333333333319E-2</v>
      </c>
      <c r="Z21" s="399">
        <f>+Interest_Redemption!$T$38/3</f>
        <v>7.2083333333333319E-2</v>
      </c>
      <c r="AA21" s="399">
        <f>+Interest_Redemption!$T$38/3</f>
        <v>7.2083333333333319E-2</v>
      </c>
      <c r="AB21" s="399">
        <f>+Interest_Redemption!$T$38/3</f>
        <v>7.2083333333333319E-2</v>
      </c>
      <c r="AC21" s="399">
        <f>+Interest_Redemption!$T$38/3</f>
        <v>7.2083333333333319E-2</v>
      </c>
      <c r="AD21" s="399">
        <f>+Interest_Redemption!$T$38/3</f>
        <v>7.2083333333333319E-2</v>
      </c>
      <c r="AF21" s="399">
        <f>+Interest_Redemption!$Y$38/3</f>
        <v>6.2083333333333331E-2</v>
      </c>
      <c r="AG21" s="399">
        <f>+Interest_Redemption!$Y$38/3</f>
        <v>6.2083333333333331E-2</v>
      </c>
      <c r="AH21" s="399">
        <f>+Interest_Redemption!$Y$38/3</f>
        <v>6.2083333333333331E-2</v>
      </c>
      <c r="AI21" s="399">
        <f>+Interest_Redemption!$Y$38/3</f>
        <v>6.2083333333333331E-2</v>
      </c>
      <c r="AJ21" s="399">
        <f>+Interest_Redemption!$Y$38/3</f>
        <v>6.2083333333333331E-2</v>
      </c>
      <c r="AK21" s="399">
        <f>+Interest_Redemption!$Y$38/3</f>
        <v>6.2083333333333331E-2</v>
      </c>
      <c r="AL21" s="399">
        <f>+Interest_Redemption!$Y$38/3</f>
        <v>6.2083333333333331E-2</v>
      </c>
      <c r="AM21" s="399">
        <f>+Interest_Redemption!$Y$38/3</f>
        <v>6.2083333333333331E-2</v>
      </c>
      <c r="AN21" s="399">
        <f>+Interest_Redemption!$Y$38/3</f>
        <v>6.2083333333333331E-2</v>
      </c>
      <c r="AO21" s="399">
        <f>+Interest_Redemption!$Y$38/3</f>
        <v>6.2083333333333331E-2</v>
      </c>
      <c r="AP21" s="399">
        <f>+Interest_Redemption!$Y$38/3</f>
        <v>6.2083333333333331E-2</v>
      </c>
      <c r="AQ21" s="876">
        <f>+Interest_Redemption!$Y$38/3</f>
        <v>6.2083333333333331E-2</v>
      </c>
    </row>
    <row r="22" spans="1:43">
      <c r="A22" s="483"/>
      <c r="B22" s="851" t="s">
        <v>171</v>
      </c>
      <c r="C22" s="1115" t="s">
        <v>149</v>
      </c>
      <c r="D22" s="1133" t="s">
        <v>508</v>
      </c>
      <c r="E22" s="1129"/>
      <c r="F22" s="399" cm="1">
        <f t="array" ref="F22">INDEX(Other_Costs_Net_1000_Y1,,MONTH(DATEVALUE(F$6&amp;" 1")))*(1+VAT_Rate_normal)</f>
        <v>5.8310000000000004</v>
      </c>
      <c r="G22" s="399" cm="1">
        <f t="array" ref="G22">INDEX(Other_Costs_Net_1000_Y1,,MONTH(DATEVALUE(G$6&amp;" 1")))*(1+VAT_Rate_normal)</f>
        <v>0</v>
      </c>
      <c r="H22" s="399" cm="1">
        <f t="array" ref="H22">INDEX(Other_Costs_Net_1000_Y1,,MONTH(DATEVALUE(H$6&amp;" 1")))*(1+VAT_Rate_normal)</f>
        <v>0</v>
      </c>
      <c r="I22" s="399" cm="1">
        <f t="array" ref="I22">INDEX(Other_Costs_Net_1000_Y1,,MONTH(DATEVALUE(I$6&amp;" 1")))*(1+VAT_Rate_normal)</f>
        <v>0</v>
      </c>
      <c r="J22" s="399" cm="1">
        <f t="array" ref="J22">INDEX(Other_Costs_Net_1000_Y1,,MONTH(DATEVALUE(J$6&amp;" 1")))*(1+VAT_Rate_normal)</f>
        <v>0</v>
      </c>
      <c r="K22" s="399" cm="1">
        <f t="array" ref="K22">INDEX(Other_Costs_Net_1000_Y1,,MONTH(DATEVALUE(K$6&amp;" 1")))*(1+VAT_Rate_normal)</f>
        <v>0</v>
      </c>
      <c r="L22" s="399" cm="1">
        <f t="array" ref="L22">INDEX(Other_Costs_Net_1000_Y1,,MONTH(DATEVALUE(L$6&amp;" 1")))*(1+VAT_Rate_normal)</f>
        <v>0</v>
      </c>
      <c r="M22" s="399" cm="1">
        <f t="array" ref="M22">INDEX(Other_Costs_Net_1000_Y1,,MONTH(DATEVALUE(M$6&amp;" 1")))*(1+VAT_Rate_normal)</f>
        <v>0</v>
      </c>
      <c r="N22" s="399" cm="1">
        <f t="array" ref="N22">INDEX(Other_Costs_Net_1000_Y1,,MONTH(DATEVALUE(N$6&amp;" 1")))*(1+VAT_Rate_normal)</f>
        <v>0</v>
      </c>
      <c r="O22" s="399" cm="1">
        <f t="array" ref="O22">INDEX(Other_Costs_Net_1000_Y1,,MONTH(DATEVALUE(O$6&amp;" 1")))*(1+VAT_Rate_normal)</f>
        <v>0</v>
      </c>
      <c r="P22" s="399" cm="1">
        <f t="array" ref="P22">INDEX(Other_Costs_Net_1000_Y1,,MONTH(DATEVALUE(P$6&amp;" 1")))*(1+VAT_Rate_normal)</f>
        <v>0</v>
      </c>
      <c r="Q22" s="399" cm="1">
        <f t="array" ref="Q22">INDEX(Other_Costs_Net_1000_Y1,,MONTH(DATEVALUE(Q$6&amp;" 1")))*(1+VAT_Rate_normal)</f>
        <v>0</v>
      </c>
      <c r="R22" s="378"/>
      <c r="S22" s="399" cm="1">
        <f t="array" ref="S22">INDEX(Other_Costs_Net_1000_Y2,,MONTH(DATEVALUE(S$6&amp;" 1")))*(1+VAT_Rate_normal)</f>
        <v>0</v>
      </c>
      <c r="T22" s="399" cm="1">
        <f t="array" ref="T22">INDEX(Other_Costs_Net_1000_Y2,,MONTH(DATEVALUE(T$6&amp;" 1")))*(1+VAT_Rate_normal)</f>
        <v>5.8310000000000004</v>
      </c>
      <c r="U22" s="399" cm="1">
        <f t="array" ref="U22">INDEX(Other_Costs_Net_1000_Y2,,MONTH(DATEVALUE(U$6&amp;" 1")))*(1+VAT_Rate_normal)</f>
        <v>0</v>
      </c>
      <c r="V22" s="399" cm="1">
        <f t="array" ref="V22">INDEX(Other_Costs_Net_1000_Y2,,MONTH(DATEVALUE(V$6&amp;" 1")))*(1+VAT_Rate_normal)</f>
        <v>0</v>
      </c>
      <c r="W22" s="399" cm="1">
        <f t="array" ref="W22">INDEX(Other_Costs_Net_1000_Y2,,MONTH(DATEVALUE(W$6&amp;" 1")))*(1+VAT_Rate_normal)</f>
        <v>0</v>
      </c>
      <c r="X22" s="399" cm="1">
        <f t="array" ref="X22">INDEX(Other_Costs_Net_1000_Y2,,MONTH(DATEVALUE(X$6&amp;" 1")))*(1+VAT_Rate_normal)</f>
        <v>0</v>
      </c>
      <c r="Y22" s="399" cm="1">
        <f t="array" ref="Y22">INDEX(Other_Costs_Net_1000_Y2,,MONTH(DATEVALUE(Y$6&amp;" 1")))*(1+VAT_Rate_normal)</f>
        <v>0</v>
      </c>
      <c r="Z22" s="399" cm="1">
        <f t="array" ref="Z22">INDEX(Other_Costs_Net_1000_Y2,,MONTH(DATEVALUE(Z$6&amp;" 1")))*(1+VAT_Rate_normal)</f>
        <v>0</v>
      </c>
      <c r="AA22" s="399" cm="1">
        <f t="array" ref="AA22">INDEX(Other_Costs_Net_1000_Y2,,MONTH(DATEVALUE(AA$6&amp;" 1")))*(1+VAT_Rate_normal)</f>
        <v>0</v>
      </c>
      <c r="AB22" s="399" cm="1">
        <f t="array" ref="AB22">INDEX(Other_Costs_Net_1000_Y2,,MONTH(DATEVALUE(AB$6&amp;" 1")))*(1+VAT_Rate_normal)</f>
        <v>0</v>
      </c>
      <c r="AC22" s="399" cm="1">
        <f t="array" ref="AC22">INDEX(Other_Costs_Net_1000_Y2,,MONTH(DATEVALUE(AC$6&amp;" 1")))*(1+VAT_Rate_normal)</f>
        <v>0</v>
      </c>
      <c r="AD22" s="399" cm="1">
        <f t="array" ref="AD22">INDEX(Other_Costs_Net_1000_Y2,,MONTH(DATEVALUE(AD$6&amp;" 1")))*(1+VAT_Rate_normal)</f>
        <v>0</v>
      </c>
      <c r="AF22" s="399" cm="1">
        <f t="array" ref="AF22">INDEX(Other_Costs_Net_1000_Y3,,MONTH(DATEVALUE(AF$6&amp;" 1")))*(1+VAT_Rate_normal)</f>
        <v>0</v>
      </c>
      <c r="AG22" s="399" cm="1">
        <f t="array" ref="AG22">INDEX(Other_Costs_Net_1000_Y3,,MONTH(DATEVALUE(AG$6&amp;" 1")))*(1+VAT_Rate_normal)</f>
        <v>0</v>
      </c>
      <c r="AH22" s="399" cm="1">
        <f t="array" ref="AH22">INDEX(Other_Costs_Net_1000_Y3,,MONTH(DATEVALUE(AH$6&amp;" 1")))*(1+VAT_Rate_normal)</f>
        <v>5.8310000000000004</v>
      </c>
      <c r="AI22" s="399" cm="1">
        <f t="array" ref="AI22">INDEX(Other_Costs_Net_1000_Y3,,MONTH(DATEVALUE(AI$6&amp;" 1")))*(1+VAT_Rate_normal)</f>
        <v>0</v>
      </c>
      <c r="AJ22" s="399" cm="1">
        <f t="array" ref="AJ22">INDEX(Other_Costs_Net_1000_Y3,,MONTH(DATEVALUE(AJ$6&amp;" 1")))*(1+VAT_Rate_normal)</f>
        <v>0</v>
      </c>
      <c r="AK22" s="399" cm="1">
        <f t="array" ref="AK22">INDEX(Other_Costs_Net_1000_Y3,,MONTH(DATEVALUE(AK$6&amp;" 1")))*(1+VAT_Rate_normal)</f>
        <v>0</v>
      </c>
      <c r="AL22" s="399" cm="1">
        <f t="array" ref="AL22">INDEX(Other_Costs_Net_1000_Y3,,MONTH(DATEVALUE(AL$6&amp;" 1")))*(1+VAT_Rate_normal)</f>
        <v>0</v>
      </c>
      <c r="AM22" s="399" cm="1">
        <f t="array" ref="AM22">INDEX(Other_Costs_Net_1000_Y3,,MONTH(DATEVALUE(AM$6&amp;" 1")))*(1+VAT_Rate_normal)</f>
        <v>0</v>
      </c>
      <c r="AN22" s="399" cm="1">
        <f t="array" ref="AN22">INDEX(Other_Costs_Net_1000_Y3,,MONTH(DATEVALUE(AN$6&amp;" 1")))*(1+VAT_Rate_normal)</f>
        <v>0</v>
      </c>
      <c r="AO22" s="399" cm="1">
        <f t="array" ref="AO22">INDEX(Other_Costs_Net_1000_Y3,,MONTH(DATEVALUE(AO$6&amp;" 1")))*(1+VAT_Rate_normal)</f>
        <v>0</v>
      </c>
      <c r="AP22" s="399" cm="1">
        <f t="array" ref="AP22">INDEX(Other_Costs_Net_1000_Y3,,MONTH(DATEVALUE(AP$6&amp;" 1")))*(1+VAT_Rate_normal)</f>
        <v>0</v>
      </c>
      <c r="AQ22" s="399" cm="1">
        <f t="array" ref="AQ22">INDEX(Other_Costs_Net_1000_Y3,,MONTH(DATEVALUE(AQ$6&amp;" 1")))*(1+VAT_Rate_normal)</f>
        <v>0</v>
      </c>
    </row>
    <row r="23" spans="1:43">
      <c r="A23" s="483"/>
      <c r="B23" s="851" t="s">
        <v>172</v>
      </c>
      <c r="C23" s="1115" t="s">
        <v>150</v>
      </c>
      <c r="D23" s="1133" t="s">
        <v>509</v>
      </c>
      <c r="E23" s="1129"/>
      <c r="F23" s="724"/>
      <c r="G23" s="724"/>
      <c r="H23" s="724"/>
      <c r="I23" s="724"/>
      <c r="J23" s="724"/>
      <c r="K23" s="724"/>
      <c r="L23" s="724"/>
      <c r="M23" s="724"/>
      <c r="N23" s="724"/>
      <c r="O23" s="724"/>
      <c r="P23" s="724"/>
      <c r="Q23" s="724"/>
      <c r="R23" s="378"/>
      <c r="S23" s="724"/>
      <c r="T23" s="724"/>
      <c r="U23" s="724"/>
      <c r="V23" s="724"/>
      <c r="W23" s="724"/>
      <c r="X23" s="724"/>
      <c r="Y23" s="724"/>
      <c r="Z23" s="724"/>
      <c r="AA23" s="724"/>
      <c r="AB23" s="724"/>
      <c r="AC23" s="724"/>
      <c r="AD23" s="724"/>
      <c r="AF23" s="724"/>
      <c r="AG23" s="724"/>
      <c r="AH23" s="724"/>
      <c r="AI23" s="724"/>
      <c r="AJ23" s="724"/>
      <c r="AK23" s="724"/>
      <c r="AL23" s="724"/>
      <c r="AM23" s="724"/>
      <c r="AN23" s="724"/>
      <c r="AO23" s="724"/>
      <c r="AP23" s="724"/>
      <c r="AQ23" s="873"/>
    </row>
    <row r="24" spans="1:43">
      <c r="A24" s="483"/>
      <c r="B24" s="854" t="s">
        <v>45</v>
      </c>
      <c r="C24" s="1115" t="s">
        <v>275</v>
      </c>
      <c r="D24" s="1133" t="s">
        <v>510</v>
      </c>
      <c r="E24" s="1129"/>
      <c r="F24" s="724"/>
      <c r="G24" s="724"/>
      <c r="H24" s="724"/>
      <c r="I24" s="724"/>
      <c r="J24" s="724"/>
      <c r="K24" s="724"/>
      <c r="L24" s="724"/>
      <c r="M24" s="724"/>
      <c r="N24" s="724"/>
      <c r="O24" s="724"/>
      <c r="P24" s="724"/>
      <c r="Q24" s="724"/>
      <c r="R24" s="378"/>
      <c r="S24" s="724"/>
      <c r="T24" s="724"/>
      <c r="U24" s="724"/>
      <c r="V24" s="724"/>
      <c r="W24" s="724"/>
      <c r="X24" s="724"/>
      <c r="Y24" s="724"/>
      <c r="Z24" s="724"/>
      <c r="AA24" s="724"/>
      <c r="AB24" s="724"/>
      <c r="AC24" s="724"/>
      <c r="AD24" s="724"/>
      <c r="AF24" s="724"/>
      <c r="AG24" s="724"/>
      <c r="AH24" s="724"/>
      <c r="AI24" s="724"/>
      <c r="AJ24" s="724"/>
      <c r="AK24" s="724"/>
      <c r="AL24" s="724"/>
      <c r="AM24" s="724"/>
      <c r="AN24" s="724"/>
      <c r="AO24" s="724"/>
      <c r="AP24" s="724"/>
      <c r="AQ24" s="873"/>
    </row>
    <row r="25" spans="1:43">
      <c r="A25" s="483"/>
      <c r="B25" s="855" t="s">
        <v>88</v>
      </c>
      <c r="C25" s="1118" t="s">
        <v>304</v>
      </c>
      <c r="D25" s="1136" t="s">
        <v>511</v>
      </c>
      <c r="E25" s="1129"/>
      <c r="F25" s="399" cm="1">
        <f t="array" ref="F25">INDEX(Development_Gross_1000_Y1,,MONTH(DATEVALUE(F$6&amp;" 1")))</f>
        <v>0</v>
      </c>
      <c r="G25" s="399" cm="1">
        <f t="array" ref="G25">INDEX(Development_Gross_1000_Y1,,MONTH(DATEVALUE(G$6&amp;" 1")))</f>
        <v>0</v>
      </c>
      <c r="H25" s="399" cm="1">
        <f t="array" ref="H25">INDEX(Development_Gross_1000_Y1,,MONTH(DATEVALUE(H$6&amp;" 1")))</f>
        <v>4.4000000000000004</v>
      </c>
      <c r="I25" s="399" cm="1">
        <f t="array" ref="I25">INDEX(Development_Gross_1000_Y1,,MONTH(DATEVALUE(I$6&amp;" 1")))</f>
        <v>0</v>
      </c>
      <c r="J25" s="399" cm="1">
        <f t="array" ref="J25">INDEX(Development_Gross_1000_Y1,,MONTH(DATEVALUE(J$6&amp;" 1")))</f>
        <v>0</v>
      </c>
      <c r="K25" s="399" cm="1">
        <f t="array" ref="K25">INDEX(Development_Gross_1000_Y1,,MONTH(DATEVALUE(K$6&amp;" 1")))</f>
        <v>0</v>
      </c>
      <c r="L25" s="399" cm="1">
        <f t="array" ref="L25">INDEX(Development_Gross_1000_Y1,,MONTH(DATEVALUE(L$6&amp;" 1")))</f>
        <v>0</v>
      </c>
      <c r="M25" s="399" cm="1">
        <f t="array" ref="M25">INDEX(Development_Gross_1000_Y1,,MONTH(DATEVALUE(M$6&amp;" 1")))</f>
        <v>0</v>
      </c>
      <c r="N25" s="399" cm="1">
        <f t="array" ref="N25">INDEX(Development_Gross_1000_Y1,,MONTH(DATEVALUE(N$6&amp;" 1")))</f>
        <v>0</v>
      </c>
      <c r="O25" s="399" cm="1">
        <f t="array" ref="O25">INDEX(Development_Gross_1000_Y1,,MONTH(DATEVALUE(O$6&amp;" 1")))</f>
        <v>0</v>
      </c>
      <c r="P25" s="399" cm="1">
        <f t="array" ref="P25">INDEX(Development_Gross_1000_Y1,,MONTH(DATEVALUE(P$6&amp;" 1")))</f>
        <v>0</v>
      </c>
      <c r="Q25" s="399" cm="1">
        <f t="array" ref="Q25">INDEX(Development_Gross_1000_Y1,,MONTH(DATEVALUE(Q$6&amp;" 1")))</f>
        <v>0</v>
      </c>
      <c r="R25" s="378"/>
      <c r="S25" s="399" cm="1">
        <f t="array" ref="S25">INDEX(Development_Gross_1000_Y2,,MONTH(DATEVALUE(S$6&amp;" 1")))</f>
        <v>0</v>
      </c>
      <c r="T25" s="399" cm="1">
        <f t="array" ref="T25">INDEX(Development_Gross_1000_Y2,,MONTH(DATEVALUE(T$6&amp;" 1")))</f>
        <v>0</v>
      </c>
      <c r="U25" s="399" cm="1">
        <f t="array" ref="U25">INDEX(Development_Gross_1000_Y2,,MONTH(DATEVALUE(U$6&amp;" 1")))</f>
        <v>0</v>
      </c>
      <c r="V25" s="399" cm="1">
        <f t="array" ref="V25">INDEX(Development_Gross_1000_Y2,,MONTH(DATEVALUE(V$6&amp;" 1")))</f>
        <v>0</v>
      </c>
      <c r="W25" s="399" cm="1">
        <f t="array" ref="W25">INDEX(Development_Gross_1000_Y2,,MONTH(DATEVALUE(W$6&amp;" 1")))</f>
        <v>0</v>
      </c>
      <c r="X25" s="399" cm="1">
        <f t="array" ref="X25">INDEX(Development_Gross_1000_Y2,,MONTH(DATEVALUE(X$6&amp;" 1")))</f>
        <v>0</v>
      </c>
      <c r="Y25" s="399" cm="1">
        <f t="array" ref="Y25">INDEX(Development_Gross_1000_Y2,,MONTH(DATEVALUE(Y$6&amp;" 1")))</f>
        <v>0</v>
      </c>
      <c r="Z25" s="399" cm="1">
        <f t="array" ref="Z25">INDEX(Development_Gross_1000_Y2,,MONTH(DATEVALUE(Z$6&amp;" 1")))</f>
        <v>0</v>
      </c>
      <c r="AA25" s="399" cm="1">
        <f t="array" ref="AA25">INDEX(Development_Gross_1000_Y2,,MONTH(DATEVALUE(AA$6&amp;" 1")))</f>
        <v>3.21</v>
      </c>
      <c r="AB25" s="399" cm="1">
        <f t="array" ref="AB25">INDEX(Development_Gross_1000_Y2,,MONTH(DATEVALUE(AB$6&amp;" 1")))</f>
        <v>1.19</v>
      </c>
      <c r="AC25" s="399" cm="1">
        <f t="array" ref="AC25">INDEX(Development_Gross_1000_Y2,,MONTH(DATEVALUE(AC$6&amp;" 1")))</f>
        <v>0</v>
      </c>
      <c r="AD25" s="399" cm="1">
        <f t="array" ref="AD25">INDEX(Development_Gross_1000_Y2,,MONTH(DATEVALUE(AD$6&amp;" 1")))</f>
        <v>0</v>
      </c>
      <c r="AF25" s="399" cm="1">
        <f t="array" ref="AF25">INDEX(Development_Gross_1000_Y3,,MONTH(DATEVALUE(AF$6&amp;" 1")))</f>
        <v>0</v>
      </c>
      <c r="AG25" s="399" cm="1">
        <f t="array" ref="AG25">INDEX(Development_Gross_1000_Y3,,MONTH(DATEVALUE(AG$6&amp;" 1")))</f>
        <v>1.19</v>
      </c>
      <c r="AH25" s="399" cm="1">
        <f t="array" ref="AH25">INDEX(Development_Gross_1000_Y3,,MONTH(DATEVALUE(AH$6&amp;" 1")))</f>
        <v>3.21</v>
      </c>
      <c r="AI25" s="399" cm="1">
        <f t="array" ref="AI25">INDEX(Development_Gross_1000_Y3,,MONTH(DATEVALUE(AI$6&amp;" 1")))</f>
        <v>0</v>
      </c>
      <c r="AJ25" s="399" cm="1">
        <f t="array" ref="AJ25">INDEX(Development_Gross_1000_Y3,,MONTH(DATEVALUE(AJ$6&amp;" 1")))</f>
        <v>0</v>
      </c>
      <c r="AK25" s="399" cm="1">
        <f t="array" ref="AK25">INDEX(Development_Gross_1000_Y3,,MONTH(DATEVALUE(AK$6&amp;" 1")))</f>
        <v>0</v>
      </c>
      <c r="AL25" s="399" cm="1">
        <f t="array" ref="AL25">INDEX(Development_Gross_1000_Y3,,MONTH(DATEVALUE(AL$6&amp;" 1")))</f>
        <v>0</v>
      </c>
      <c r="AM25" s="399" cm="1">
        <f t="array" ref="AM25">INDEX(Development_Gross_1000_Y3,,MONTH(DATEVALUE(AM$6&amp;" 1")))</f>
        <v>0</v>
      </c>
      <c r="AN25" s="399" cm="1">
        <f t="array" ref="AN25">INDEX(Development_Gross_1000_Y3,,MONTH(DATEVALUE(AN$6&amp;" 1")))</f>
        <v>0</v>
      </c>
      <c r="AO25" s="399" cm="1">
        <f t="array" ref="AO25">INDEX(Development_Gross_1000_Y3,,MONTH(DATEVALUE(AO$6&amp;" 1")))</f>
        <v>0</v>
      </c>
      <c r="AP25" s="399" cm="1">
        <f t="array" ref="AP25">INDEX(Development_Gross_1000_Y3,,MONTH(DATEVALUE(AP$6&amp;" 1")))</f>
        <v>0</v>
      </c>
      <c r="AQ25" s="399" cm="1">
        <f t="array" ref="AQ25">INDEX(Development_Gross_1000_Y3,,MONTH(DATEVALUE(AQ$6&amp;" 1")))</f>
        <v>0</v>
      </c>
    </row>
    <row r="26" spans="1:43">
      <c r="A26" s="483"/>
      <c r="B26" s="851" t="s">
        <v>89</v>
      </c>
      <c r="C26" s="1115" t="s">
        <v>151</v>
      </c>
      <c r="D26" s="1133" t="s">
        <v>495</v>
      </c>
      <c r="E26" s="1129"/>
      <c r="F26" s="399" cm="1">
        <f t="array" ref="F26">INDEX(Total_License_Costs_Y1,,MONTH(DATEVALUE(F$6&amp;" 1")))*(1+VAT_Rate_normal)/$M$3</f>
        <v>1.19</v>
      </c>
      <c r="G26" s="399" cm="1">
        <f t="array" ref="G26">INDEX(Total_License_Costs_Y1,,MONTH(DATEVALUE(G$6&amp;" 1")))*(1+VAT_Rate_normal)/$M$3</f>
        <v>0</v>
      </c>
      <c r="H26" s="399" cm="1">
        <f t="array" ref="H26">INDEX(Total_License_Costs_Y1,,MONTH(DATEVALUE(H$6&amp;" 1")))*(1+VAT_Rate_normal)/$M$3</f>
        <v>0</v>
      </c>
      <c r="I26" s="399" cm="1">
        <f t="array" ref="I26">INDEX(Total_License_Costs_Y1,,MONTH(DATEVALUE(I$6&amp;" 1")))*(1+VAT_Rate_normal)/$M$3</f>
        <v>0</v>
      </c>
      <c r="J26" s="399" cm="1">
        <f t="array" ref="J26">INDEX(Total_License_Costs_Y1,,MONTH(DATEVALUE(J$6&amp;" 1")))*(1+VAT_Rate_normal)/$M$3</f>
        <v>1.19</v>
      </c>
      <c r="K26" s="399" cm="1">
        <f t="array" ref="K26">INDEX(Total_License_Costs_Y1,,MONTH(DATEVALUE(K$6&amp;" 1")))*(1+VAT_Rate_normal)/$M$3</f>
        <v>0</v>
      </c>
      <c r="L26" s="399" cm="1">
        <f t="array" ref="L26">INDEX(Total_License_Costs_Y1,,MONTH(DATEVALUE(L$6&amp;" 1")))*(1+VAT_Rate_normal)/$M$3</f>
        <v>0</v>
      </c>
      <c r="M26" s="399" cm="1">
        <f t="array" ref="M26">INDEX(Total_License_Costs_Y1,,MONTH(DATEVALUE(M$6&amp;" 1")))*(1+VAT_Rate_normal)/$M$3</f>
        <v>0</v>
      </c>
      <c r="N26" s="399" cm="1">
        <f t="array" ref="N26">INDEX(Total_License_Costs_Y1,,MONTH(DATEVALUE(N$6&amp;" 1")))*(1+VAT_Rate_normal)/$M$3</f>
        <v>1.19</v>
      </c>
      <c r="O26" s="399" cm="1">
        <f t="array" ref="O26">INDEX(Total_License_Costs_Y1,,MONTH(DATEVALUE(O$6&amp;" 1")))*(1+VAT_Rate_normal)/$M$3</f>
        <v>0</v>
      </c>
      <c r="P26" s="399" cm="1">
        <f t="array" ref="P26">INDEX(Total_License_Costs_Y1,,MONTH(DATEVALUE(P$6&amp;" 1")))*(1+VAT_Rate_normal)/$M$3</f>
        <v>0</v>
      </c>
      <c r="Q26" s="399" cm="1">
        <f t="array" ref="Q26">INDEX(Total_License_Costs_Y1,,MONTH(DATEVALUE(Q$6&amp;" 1")))*(1+VAT_Rate_normal)/$M$3</f>
        <v>1.19</v>
      </c>
      <c r="R26" s="378"/>
      <c r="S26" s="399" cm="1">
        <f t="array" ref="S26">INDEX(Total_License_Costs_Y2,,MONTH(DATEVALUE(S$6&amp;" 1")))*(1+VAT_Rate_normal)/$M$3</f>
        <v>0</v>
      </c>
      <c r="T26" s="399" cm="1">
        <f t="array" ref="T26">INDEX(Total_License_Costs_Y2,,MONTH(DATEVALUE(T$6&amp;" 1")))*(1+VAT_Rate_normal)/$M$3</f>
        <v>0</v>
      </c>
      <c r="U26" s="399" cm="1">
        <f t="array" ref="U26">INDEX(Total_License_Costs_Y2,,MONTH(DATEVALUE(U$6&amp;" 1")))*(1+VAT_Rate_normal)/$M$3</f>
        <v>2.9750000000000001</v>
      </c>
      <c r="V26" s="399" cm="1">
        <f t="array" ref="V26">INDEX(Total_License_Costs_Y2,,MONTH(DATEVALUE(V$6&amp;" 1")))*(1+VAT_Rate_normal)/$M$3</f>
        <v>0</v>
      </c>
      <c r="W26" s="399" cm="1">
        <f t="array" ref="W26">INDEX(Total_License_Costs_Y2,,MONTH(DATEVALUE(W$6&amp;" 1")))*(1+VAT_Rate_normal)/$M$3</f>
        <v>0</v>
      </c>
      <c r="X26" s="399" cm="1">
        <f t="array" ref="X26">INDEX(Total_License_Costs_Y2,,MONTH(DATEVALUE(X$6&amp;" 1")))*(1+VAT_Rate_normal)/$M$3</f>
        <v>2.9750000000000001</v>
      </c>
      <c r="Y26" s="399" cm="1">
        <f t="array" ref="Y26">INDEX(Total_License_Costs_Y2,,MONTH(DATEVALUE(Y$6&amp;" 1")))*(1+VAT_Rate_normal)/$M$3</f>
        <v>0</v>
      </c>
      <c r="Z26" s="399" cm="1">
        <f t="array" ref="Z26">INDEX(Total_License_Costs_Y2,,MONTH(DATEVALUE(Z$6&amp;" 1")))*(1+VAT_Rate_normal)/$M$3</f>
        <v>0</v>
      </c>
      <c r="AA26" s="399" cm="1">
        <f t="array" ref="AA26">INDEX(Total_License_Costs_Y2,,MONTH(DATEVALUE(AA$6&amp;" 1")))*(1+VAT_Rate_normal)/$M$3</f>
        <v>0</v>
      </c>
      <c r="AB26" s="399" cm="1">
        <f t="array" ref="AB26">INDEX(Total_License_Costs_Y2,,MONTH(DATEVALUE(AB$6&amp;" 1")))*(1+VAT_Rate_normal)/$M$3</f>
        <v>0</v>
      </c>
      <c r="AC26" s="399" cm="1">
        <f t="array" ref="AC26">INDEX(Total_License_Costs_Y2,,MONTH(DATEVALUE(AC$6&amp;" 1")))*(1+VAT_Rate_normal)/$M$3</f>
        <v>0</v>
      </c>
      <c r="AD26" s="399" cm="1">
        <f t="array" ref="AD26">INDEX(Total_License_Costs_Y2,,MONTH(DATEVALUE(AD$6&amp;" 1")))*(1+VAT_Rate_normal)/$M$3</f>
        <v>0</v>
      </c>
      <c r="AE26" s="399"/>
      <c r="AF26" s="399" cm="1">
        <f t="array" ref="AF26">INDEX(Total_License_Costs_Y3,,MONTH(DATEVALUE(AF$6&amp;" 1")))*(1+VAT_Rate_normal)/$M$3</f>
        <v>0</v>
      </c>
      <c r="AG26" s="399" cm="1">
        <f t="array" ref="AG26">INDEX(Total_License_Costs_Y3,,MONTH(DATEVALUE(AG$6&amp;" 1")))*(1+VAT_Rate_normal)/$M$3</f>
        <v>0</v>
      </c>
      <c r="AH26" s="399" cm="1">
        <f t="array" ref="AH26">INDEX(Total_License_Costs_Y3,,MONTH(DATEVALUE(AH$6&amp;" 1")))*(1+VAT_Rate_normal)/$M$3</f>
        <v>0</v>
      </c>
      <c r="AI26" s="399" cm="1">
        <f t="array" ref="AI26">INDEX(Total_License_Costs_Y3,,MONTH(DATEVALUE(AI$6&amp;" 1")))*(1+VAT_Rate_normal)/$M$3</f>
        <v>0</v>
      </c>
      <c r="AJ26" s="399" cm="1">
        <f t="array" ref="AJ26">INDEX(Total_License_Costs_Y3,,MONTH(DATEVALUE(AJ$6&amp;" 1")))*(1+VAT_Rate_normal)/$M$3</f>
        <v>0</v>
      </c>
      <c r="AK26" s="399" cm="1">
        <f t="array" ref="AK26">INDEX(Total_License_Costs_Y3,,MONTH(DATEVALUE(AK$6&amp;" 1")))*(1+VAT_Rate_normal)/$M$3</f>
        <v>0</v>
      </c>
      <c r="AL26" s="399" cm="1">
        <f t="array" ref="AL26">INDEX(Total_License_Costs_Y3,,MONTH(DATEVALUE(AL$6&amp;" 1")))*(1+VAT_Rate_normal)/$M$3</f>
        <v>3.57</v>
      </c>
      <c r="AM26" s="399" cm="1">
        <f t="array" ref="AM26">INDEX(Total_License_Costs_Y3,,MONTH(DATEVALUE(AM$6&amp;" 1")))*(1+VAT_Rate_normal)/$M$3</f>
        <v>0</v>
      </c>
      <c r="AN26" s="399" cm="1">
        <f t="array" ref="AN26">INDEX(Total_License_Costs_Y3,,MONTH(DATEVALUE(AN$6&amp;" 1")))*(1+VAT_Rate_normal)/$M$3</f>
        <v>0</v>
      </c>
      <c r="AO26" s="399" cm="1">
        <f t="array" ref="AO26">INDEX(Total_License_Costs_Y3,,MONTH(DATEVALUE(AO$6&amp;" 1")))*(1+VAT_Rate_normal)/$M$3</f>
        <v>0</v>
      </c>
      <c r="AP26" s="399" cm="1">
        <f t="array" ref="AP26">INDEX(Total_License_Costs_Y3,,MONTH(DATEVALUE(AP$6&amp;" 1")))*(1+VAT_Rate_normal)/$M$3</f>
        <v>0</v>
      </c>
      <c r="AQ26" s="399" cm="1">
        <f t="array" ref="AQ26">INDEX(Total_License_Costs_Y3,,MONTH(DATEVALUE(AQ$6&amp;" 1")))*(1+VAT_Rate_normal)/$M$3</f>
        <v>3.57</v>
      </c>
    </row>
    <row r="27" spans="1:43">
      <c r="A27" s="483"/>
      <c r="B27" s="851" t="s">
        <v>173</v>
      </c>
      <c r="C27" s="1115" t="s">
        <v>152</v>
      </c>
      <c r="D27" s="1133" t="s">
        <v>512</v>
      </c>
      <c r="E27" s="1129"/>
      <c r="F27" s="399">
        <f>+Interest_Redemption!G39</f>
        <v>1</v>
      </c>
      <c r="G27" s="399">
        <f>+Interest_Redemption!H39</f>
        <v>1</v>
      </c>
      <c r="H27" s="399">
        <f>+Interest_Redemption!I39</f>
        <v>1</v>
      </c>
      <c r="I27" s="399">
        <f>+Interest_Redemption!J39</f>
        <v>1</v>
      </c>
      <c r="J27" s="399">
        <f>+Interest_Redemption!K39</f>
        <v>1</v>
      </c>
      <c r="K27" s="399">
        <f>+Interest_Redemption!L39</f>
        <v>1</v>
      </c>
      <c r="L27" s="399">
        <f>+Interest_Redemption!M39</f>
        <v>1</v>
      </c>
      <c r="M27" s="399">
        <f>+Interest_Redemption!N39</f>
        <v>1</v>
      </c>
      <c r="N27" s="399">
        <f>+Interest_Redemption!O39</f>
        <v>1</v>
      </c>
      <c r="O27" s="399">
        <f>+Interest_Redemption!P39</f>
        <v>1</v>
      </c>
      <c r="P27" s="399">
        <f>+Interest_Redemption!Q39</f>
        <v>1</v>
      </c>
      <c r="Q27" s="399">
        <f>+Interest_Redemption!R39</f>
        <v>1</v>
      </c>
      <c r="R27" s="378"/>
      <c r="S27" s="399"/>
      <c r="T27" s="399"/>
      <c r="U27" s="399">
        <f>+Interest_Redemption!T39</f>
        <v>3</v>
      </c>
      <c r="V27" s="399"/>
      <c r="W27" s="399"/>
      <c r="X27" s="399">
        <f>+Interest_Redemption!U39</f>
        <v>3</v>
      </c>
      <c r="Y27" s="399"/>
      <c r="Z27" s="399"/>
      <c r="AA27" s="399">
        <f>+Interest_Redemption!V39</f>
        <v>3</v>
      </c>
      <c r="AB27" s="399"/>
      <c r="AC27" s="399"/>
      <c r="AD27" s="399">
        <f>+Interest_Redemption!W39</f>
        <v>3</v>
      </c>
      <c r="AF27" s="399"/>
      <c r="AG27" s="399"/>
      <c r="AH27" s="399">
        <f>+Interest_Redemption!Y39</f>
        <v>3</v>
      </c>
      <c r="AI27" s="399"/>
      <c r="AJ27" s="399"/>
      <c r="AK27" s="399">
        <f>+Interest_Redemption!Z39</f>
        <v>3</v>
      </c>
      <c r="AL27" s="399"/>
      <c r="AM27" s="399"/>
      <c r="AN27" s="399">
        <f>+Interest_Redemption!AA39</f>
        <v>3</v>
      </c>
      <c r="AO27" s="399"/>
      <c r="AP27" s="399"/>
      <c r="AQ27" s="876">
        <f>+Interest_Redemption!AB39</f>
        <v>3</v>
      </c>
    </row>
    <row r="28" spans="1:43">
      <c r="A28" s="483"/>
      <c r="B28" s="851" t="s">
        <v>174</v>
      </c>
      <c r="C28" s="1119"/>
      <c r="D28" s="1137"/>
      <c r="E28" s="1129"/>
      <c r="F28" s="724"/>
      <c r="G28" s="724"/>
      <c r="H28" s="724"/>
      <c r="I28" s="724"/>
      <c r="J28" s="724"/>
      <c r="K28" s="724"/>
      <c r="L28" s="724"/>
      <c r="M28" s="724"/>
      <c r="N28" s="724"/>
      <c r="O28" s="724"/>
      <c r="P28" s="724"/>
      <c r="Q28" s="724"/>
      <c r="R28" s="378"/>
      <c r="S28" s="724"/>
      <c r="T28" s="724"/>
      <c r="U28" s="724"/>
      <c r="V28" s="724"/>
      <c r="W28" s="724"/>
      <c r="X28" s="724"/>
      <c r="Y28" s="724"/>
      <c r="Z28" s="724"/>
      <c r="AA28" s="724"/>
      <c r="AB28" s="724"/>
      <c r="AC28" s="724"/>
      <c r="AD28" s="724"/>
      <c r="AE28" s="661"/>
      <c r="AF28" s="724"/>
      <c r="AG28" s="724"/>
      <c r="AH28" s="724"/>
      <c r="AI28" s="724"/>
      <c r="AJ28" s="724"/>
      <c r="AK28" s="724"/>
      <c r="AL28" s="724"/>
      <c r="AM28" s="724"/>
      <c r="AN28" s="724"/>
      <c r="AO28" s="724"/>
      <c r="AP28" s="724"/>
      <c r="AQ28" s="873"/>
    </row>
    <row r="29" spans="1:43">
      <c r="A29" s="483"/>
      <c r="B29" s="854" t="s">
        <v>140</v>
      </c>
      <c r="C29" s="1120"/>
      <c r="D29" s="1138"/>
      <c r="E29" s="1129"/>
      <c r="F29" s="754"/>
      <c r="G29" s="754"/>
      <c r="H29" s="754"/>
      <c r="I29" s="754"/>
      <c r="J29" s="754"/>
      <c r="K29" s="754"/>
      <c r="L29" s="754"/>
      <c r="M29" s="754"/>
      <c r="N29" s="754"/>
      <c r="O29" s="754"/>
      <c r="P29" s="754"/>
      <c r="Q29" s="754"/>
      <c r="R29" s="378"/>
      <c r="S29" s="754"/>
      <c r="T29" s="754"/>
      <c r="U29" s="754"/>
      <c r="V29" s="754"/>
      <c r="W29" s="754"/>
      <c r="X29" s="754"/>
      <c r="Y29" s="754"/>
      <c r="Z29" s="754"/>
      <c r="AA29" s="754"/>
      <c r="AB29" s="754"/>
      <c r="AC29" s="754"/>
      <c r="AD29" s="754"/>
      <c r="AF29" s="754"/>
      <c r="AG29" s="754"/>
      <c r="AH29" s="754"/>
      <c r="AI29" s="754"/>
      <c r="AJ29" s="754"/>
      <c r="AK29" s="754"/>
      <c r="AL29" s="754"/>
      <c r="AM29" s="754"/>
      <c r="AN29" s="754"/>
      <c r="AO29" s="754"/>
      <c r="AP29" s="754"/>
      <c r="AQ29" s="877"/>
    </row>
    <row r="30" spans="1:43" s="376" customFormat="1" ht="14" customHeight="1">
      <c r="A30" s="493"/>
      <c r="B30" s="853" t="s">
        <v>31</v>
      </c>
      <c r="C30" s="1117" t="s">
        <v>167</v>
      </c>
      <c r="D30" s="1135" t="s">
        <v>513</v>
      </c>
      <c r="E30" s="1130"/>
      <c r="F30" s="841">
        <f>SUM(F7:F17)</f>
        <v>26.487494049999999</v>
      </c>
      <c r="G30" s="841">
        <f>SUM(G7:G16)</f>
        <v>4.3434940499999994</v>
      </c>
      <c r="H30" s="841">
        <f>SUM(H7:H16)</f>
        <v>12.197494049999998</v>
      </c>
      <c r="I30" s="841">
        <f>SUM(I7:I16)</f>
        <v>9.3414940499999997</v>
      </c>
      <c r="J30" s="841">
        <f>SUM(J7:J16)</f>
        <v>10.174494050000002</v>
      </c>
      <c r="K30" s="841">
        <f>SUM(K7:K16)</f>
        <v>15.767494050000002</v>
      </c>
      <c r="L30" s="841">
        <f t="shared" ref="L30:Q30" si="0">SUM(L7:L16)</f>
        <v>9.8174940500000005</v>
      </c>
      <c r="M30" s="841">
        <f t="shared" si="0"/>
        <v>10.650494050000001</v>
      </c>
      <c r="N30" s="841">
        <f t="shared" si="0"/>
        <v>17.909494050000003</v>
      </c>
      <c r="O30" s="841">
        <f t="shared" si="0"/>
        <v>12.078494050000002</v>
      </c>
      <c r="P30" s="841">
        <f t="shared" si="0"/>
        <v>11.483494050000001</v>
      </c>
      <c r="Q30" s="841">
        <f t="shared" si="0"/>
        <v>13.268494050000001</v>
      </c>
      <c r="R30" s="494"/>
      <c r="S30" s="841">
        <f>SUM(S7:S17)</f>
        <v>3.5699881000000002</v>
      </c>
      <c r="T30" s="841">
        <f>SUM(T7:T16)</f>
        <v>6.5806880999999997</v>
      </c>
      <c r="U30" s="841">
        <f>SUM(U7:U16)</f>
        <v>17.433488099999998</v>
      </c>
      <c r="V30" s="841">
        <f>SUM(V7:V16)</f>
        <v>12.352188099999999</v>
      </c>
      <c r="W30" s="841">
        <f>SUM(W7:W16)</f>
        <v>15.231988099999999</v>
      </c>
      <c r="X30" s="841">
        <f>SUM(X7:X16)</f>
        <v>22.728988099999995</v>
      </c>
      <c r="Y30" s="841">
        <f t="shared" ref="Y30:AD30" si="1">SUM(Y7:Y16)</f>
        <v>14.398988099999999</v>
      </c>
      <c r="Z30" s="841">
        <f t="shared" si="1"/>
        <v>15.362888099999997</v>
      </c>
      <c r="AA30" s="841">
        <f t="shared" si="1"/>
        <v>24.002288099999998</v>
      </c>
      <c r="AB30" s="841">
        <f t="shared" si="1"/>
        <v>15.969788100000001</v>
      </c>
      <c r="AC30" s="841">
        <f t="shared" si="1"/>
        <v>15.969788100000001</v>
      </c>
      <c r="AD30" s="841">
        <f t="shared" si="1"/>
        <v>17.992788100000002</v>
      </c>
      <c r="AF30" s="841">
        <f>SUM(AF7:AF17)</f>
        <v>7.4374702500000005</v>
      </c>
      <c r="AG30" s="841">
        <f>SUM(AG7:AG16)</f>
        <v>13.363670249999998</v>
      </c>
      <c r="AH30" s="841">
        <f>SUM(AH7:AH16)</f>
        <v>25.644470249999998</v>
      </c>
      <c r="AI30" s="841">
        <f>SUM(AI7:AI16)</f>
        <v>25.263670249999997</v>
      </c>
      <c r="AJ30" s="841">
        <f>SUM(AJ7:AJ16)</f>
        <v>29.452470249999998</v>
      </c>
      <c r="AK30" s="841">
        <f>SUM(AK7:AK16)</f>
        <v>35.045470250000001</v>
      </c>
      <c r="AL30" s="841">
        <f t="shared" ref="AL30:AQ30" si="2">SUM(AL7:AL16)</f>
        <v>27.072470249999999</v>
      </c>
      <c r="AM30" s="841">
        <f t="shared" si="2"/>
        <v>28.333870249999997</v>
      </c>
      <c r="AN30" s="841">
        <f t="shared" si="2"/>
        <v>38.639270249999996</v>
      </c>
      <c r="AO30" s="841">
        <f t="shared" si="2"/>
        <v>30.190270249999998</v>
      </c>
      <c r="AP30" s="841">
        <f t="shared" si="2"/>
        <v>29.714270249999998</v>
      </c>
      <c r="AQ30" s="878">
        <f t="shared" si="2"/>
        <v>29.952270250000002</v>
      </c>
    </row>
    <row r="31" spans="1:43" s="376" customFormat="1" ht="14" customHeight="1">
      <c r="A31" s="493"/>
      <c r="B31" s="856" t="s">
        <v>32</v>
      </c>
      <c r="C31" s="1121" t="s">
        <v>168</v>
      </c>
      <c r="D31" s="1135" t="s">
        <v>514</v>
      </c>
      <c r="E31" s="1130"/>
      <c r="F31" s="842">
        <f t="shared" ref="F31:K31" si="3">SUM(F19:F29)</f>
        <v>31.087916666666665</v>
      </c>
      <c r="G31" s="842">
        <f t="shared" si="3"/>
        <v>25.315583333333333</v>
      </c>
      <c r="H31" s="842">
        <f t="shared" si="3"/>
        <v>30.547750000000001</v>
      </c>
      <c r="I31" s="842">
        <f t="shared" si="3"/>
        <v>27.396416666666667</v>
      </c>
      <c r="J31" s="842">
        <f t="shared" si="3"/>
        <v>29.418583333333334</v>
      </c>
      <c r="K31" s="842">
        <f t="shared" si="3"/>
        <v>28.22775</v>
      </c>
      <c r="L31" s="842">
        <f t="shared" ref="L31:Q31" si="4">SUM(L19:L29)</f>
        <v>28.226916666666668</v>
      </c>
      <c r="M31" s="842">
        <f t="shared" si="4"/>
        <v>28.642583333333334</v>
      </c>
      <c r="N31" s="842">
        <f t="shared" si="4"/>
        <v>30.248250000000002</v>
      </c>
      <c r="O31" s="842">
        <f>SUM(O19:O29)</f>
        <v>29.057416666666665</v>
      </c>
      <c r="P31" s="842">
        <f t="shared" si="4"/>
        <v>29.056583333333332</v>
      </c>
      <c r="Q31" s="842">
        <f t="shared" si="4"/>
        <v>28.163250000000001</v>
      </c>
      <c r="R31" s="494"/>
      <c r="S31" s="842">
        <f t="shared" ref="S31:AA31" si="5">SUM(S19:S29)</f>
        <v>23.917983333333332</v>
      </c>
      <c r="T31" s="842">
        <f t="shared" si="5"/>
        <v>31.373333333333331</v>
      </c>
      <c r="U31" s="842">
        <f t="shared" si="5"/>
        <v>32.600233333333335</v>
      </c>
      <c r="V31" s="842">
        <f t="shared" si="5"/>
        <v>28.24958333333333</v>
      </c>
      <c r="W31" s="842">
        <f t="shared" si="5"/>
        <v>29.332483333333329</v>
      </c>
      <c r="X31" s="842">
        <f t="shared" si="5"/>
        <v>35.30748333333333</v>
      </c>
      <c r="Y31" s="842">
        <f t="shared" si="5"/>
        <v>29.332483333333329</v>
      </c>
      <c r="Z31" s="842">
        <f t="shared" si="5"/>
        <v>29.87393333333333</v>
      </c>
      <c r="AA31" s="842">
        <f t="shared" si="5"/>
        <v>36.625383333333332</v>
      </c>
      <c r="AB31" s="842">
        <f>SUM(AB19:AB29)</f>
        <v>31.605383333333332</v>
      </c>
      <c r="AC31" s="842">
        <f t="shared" ref="AC31:AD31" si="6">SUM(AC19:AC29)</f>
        <v>30.415383333333331</v>
      </c>
      <c r="AD31" s="842">
        <f t="shared" si="6"/>
        <v>30.708133333333329</v>
      </c>
      <c r="AF31" s="842">
        <f t="shared" ref="AF31:AN31" si="7">SUM(AF19:AF29)</f>
        <v>25.460253333333338</v>
      </c>
      <c r="AG31" s="842">
        <f t="shared" si="7"/>
        <v>29.006453333333337</v>
      </c>
      <c r="AH31" s="842">
        <f t="shared" si="7"/>
        <v>41.428253333333338</v>
      </c>
      <c r="AI31" s="842">
        <f t="shared" si="7"/>
        <v>31.743453333333335</v>
      </c>
      <c r="AJ31" s="842">
        <f t="shared" si="7"/>
        <v>33.31425333333334</v>
      </c>
      <c r="AK31" s="842">
        <f t="shared" si="7"/>
        <v>36.31425333333334</v>
      </c>
      <c r="AL31" s="842">
        <f t="shared" si="7"/>
        <v>36.884253333333341</v>
      </c>
      <c r="AM31" s="842">
        <f t="shared" si="7"/>
        <v>34.099653333333336</v>
      </c>
      <c r="AN31" s="842">
        <f t="shared" si="7"/>
        <v>37.885053333333339</v>
      </c>
      <c r="AO31" s="842">
        <f>SUM(AO19:AO29)</f>
        <v>34.885053333333339</v>
      </c>
      <c r="AP31" s="842">
        <f t="shared" ref="AP31:AQ31" si="8">SUM(AP19:AP29)</f>
        <v>34.885053333333339</v>
      </c>
      <c r="AQ31" s="879">
        <f t="shared" si="8"/>
        <v>37.528053333333339</v>
      </c>
    </row>
    <row r="32" spans="1:43" ht="14" customHeight="1">
      <c r="A32" s="483"/>
      <c r="B32" s="857"/>
      <c r="C32" s="1122"/>
      <c r="D32" s="1139"/>
      <c r="F32" s="495"/>
      <c r="G32" s="495"/>
      <c r="H32" s="495"/>
      <c r="I32" s="495"/>
      <c r="J32" s="495"/>
      <c r="K32" s="495"/>
      <c r="L32" s="495"/>
      <c r="M32" s="495"/>
      <c r="N32" s="495"/>
      <c r="O32" s="495"/>
      <c r="P32" s="495"/>
      <c r="Q32" s="495"/>
      <c r="R32" s="378"/>
      <c r="S32" s="495"/>
      <c r="T32" s="495"/>
      <c r="U32" s="495"/>
      <c r="V32" s="495"/>
      <c r="W32" s="495"/>
      <c r="X32" s="495"/>
      <c r="Y32" s="495"/>
      <c r="Z32" s="495"/>
      <c r="AA32" s="495"/>
      <c r="AB32" s="495"/>
      <c r="AC32" s="495"/>
      <c r="AD32" s="495"/>
      <c r="AF32" s="495"/>
      <c r="AG32" s="495"/>
      <c r="AH32" s="495"/>
      <c r="AI32" s="495"/>
      <c r="AJ32" s="495"/>
      <c r="AK32" s="495"/>
      <c r="AL32" s="495"/>
      <c r="AM32" s="495"/>
      <c r="AN32" s="495"/>
      <c r="AO32" s="495"/>
      <c r="AP32" s="495"/>
      <c r="AQ32" s="880"/>
    </row>
    <row r="33" spans="1:43" s="376" customFormat="1" ht="14" customHeight="1">
      <c r="A33" s="493"/>
      <c r="B33" s="853" t="s">
        <v>33</v>
      </c>
      <c r="C33" s="1117" t="s">
        <v>153</v>
      </c>
      <c r="D33" s="1135" t="s">
        <v>515</v>
      </c>
      <c r="E33" s="1130"/>
      <c r="F33" s="841">
        <f t="shared" ref="F33:K33" si="9">+F30-F31</f>
        <v>-4.6004226166666662</v>
      </c>
      <c r="G33" s="841">
        <f t="shared" si="9"/>
        <v>-20.972089283333332</v>
      </c>
      <c r="H33" s="841">
        <f t="shared" si="9"/>
        <v>-18.350255950000005</v>
      </c>
      <c r="I33" s="841">
        <f t="shared" si="9"/>
        <v>-18.054922616666666</v>
      </c>
      <c r="J33" s="841">
        <f t="shared" si="9"/>
        <v>-19.244089283333331</v>
      </c>
      <c r="K33" s="841">
        <f t="shared" si="9"/>
        <v>-12.460255949999999</v>
      </c>
      <c r="L33" s="841">
        <f t="shared" ref="L33:Q33" si="10">+L30-L31</f>
        <v>-18.409422616666667</v>
      </c>
      <c r="M33" s="841">
        <f t="shared" si="10"/>
        <v>-17.992089283333335</v>
      </c>
      <c r="N33" s="841">
        <f t="shared" si="10"/>
        <v>-12.338755949999999</v>
      </c>
      <c r="O33" s="841">
        <f t="shared" si="10"/>
        <v>-16.978922616666665</v>
      </c>
      <c r="P33" s="841">
        <f t="shared" si="10"/>
        <v>-17.573089283333331</v>
      </c>
      <c r="Q33" s="841">
        <f t="shared" si="10"/>
        <v>-14.89475595</v>
      </c>
      <c r="R33" s="494"/>
      <c r="S33" s="841">
        <f t="shared" ref="S33:AD33" si="11">+S30-S31</f>
        <v>-20.347995233333332</v>
      </c>
      <c r="T33" s="841">
        <f t="shared" si="11"/>
        <v>-24.792645233333332</v>
      </c>
      <c r="U33" s="841">
        <f t="shared" si="11"/>
        <v>-15.166745233333337</v>
      </c>
      <c r="V33" s="841">
        <f t="shared" si="11"/>
        <v>-15.897395233333331</v>
      </c>
      <c r="W33" s="841">
        <f t="shared" si="11"/>
        <v>-14.10049523333333</v>
      </c>
      <c r="X33" s="841">
        <f t="shared" si="11"/>
        <v>-12.578495233333335</v>
      </c>
      <c r="Y33" s="841">
        <f t="shared" si="11"/>
        <v>-14.93349523333333</v>
      </c>
      <c r="Z33" s="841">
        <f t="shared" si="11"/>
        <v>-14.511045233333332</v>
      </c>
      <c r="AA33" s="841">
        <f t="shared" si="11"/>
        <v>-12.623095233333334</v>
      </c>
      <c r="AB33" s="841">
        <f t="shared" si="11"/>
        <v>-15.635595233333332</v>
      </c>
      <c r="AC33" s="841">
        <f t="shared" si="11"/>
        <v>-14.44559523333333</v>
      </c>
      <c r="AD33" s="841">
        <f t="shared" si="11"/>
        <v>-12.715345233333327</v>
      </c>
      <c r="AF33" s="841">
        <f t="shared" ref="AF33:AQ33" si="12">+AF30-AF31</f>
        <v>-18.022783083333337</v>
      </c>
      <c r="AG33" s="841">
        <f t="shared" si="12"/>
        <v>-15.642783083333338</v>
      </c>
      <c r="AH33" s="841">
        <f t="shared" si="12"/>
        <v>-15.78378308333334</v>
      </c>
      <c r="AI33" s="841">
        <f t="shared" si="12"/>
        <v>-6.4797830833333379</v>
      </c>
      <c r="AJ33" s="841">
        <f t="shared" si="12"/>
        <v>-3.8617830833333429</v>
      </c>
      <c r="AK33" s="841">
        <f t="shared" si="12"/>
        <v>-1.2687830833333393</v>
      </c>
      <c r="AL33" s="841">
        <f t="shared" si="12"/>
        <v>-9.8117830833333421</v>
      </c>
      <c r="AM33" s="841">
        <f t="shared" si="12"/>
        <v>-5.7657830833333392</v>
      </c>
      <c r="AN33" s="841">
        <f t="shared" si="12"/>
        <v>0.7542169166666568</v>
      </c>
      <c r="AO33" s="841">
        <f t="shared" si="12"/>
        <v>-4.6947830833333413</v>
      </c>
      <c r="AP33" s="841">
        <f t="shared" si="12"/>
        <v>-5.1707830833333404</v>
      </c>
      <c r="AQ33" s="878">
        <f t="shared" si="12"/>
        <v>-7.5757830833333379</v>
      </c>
    </row>
    <row r="34" spans="1:43" s="376" customFormat="1" ht="14" customHeight="1">
      <c r="A34" s="493"/>
      <c r="B34" s="856" t="s">
        <v>34</v>
      </c>
      <c r="C34" s="1121" t="s">
        <v>154</v>
      </c>
      <c r="D34" s="1135" t="s">
        <v>516</v>
      </c>
      <c r="E34" s="1130"/>
      <c r="F34" s="843">
        <f>+F33</f>
        <v>-4.6004226166666662</v>
      </c>
      <c r="G34" s="843">
        <f t="shared" ref="G34:K34" si="13">+G33+F34</f>
        <v>-25.572511899999999</v>
      </c>
      <c r="H34" s="843">
        <f t="shared" si="13"/>
        <v>-43.92276785</v>
      </c>
      <c r="I34" s="843">
        <f t="shared" si="13"/>
        <v>-61.977690466666665</v>
      </c>
      <c r="J34" s="843">
        <f t="shared" si="13"/>
        <v>-81.221779749999996</v>
      </c>
      <c r="K34" s="843">
        <f t="shared" si="13"/>
        <v>-93.6820357</v>
      </c>
      <c r="L34" s="843">
        <f t="shared" ref="L34:Q34" si="14">+L33+K34</f>
        <v>-112.09145831666666</v>
      </c>
      <c r="M34" s="843">
        <f t="shared" si="14"/>
        <v>-130.0835476</v>
      </c>
      <c r="N34" s="843">
        <f t="shared" si="14"/>
        <v>-142.42230355000001</v>
      </c>
      <c r="O34" s="843">
        <f t="shared" si="14"/>
        <v>-159.40122616666667</v>
      </c>
      <c r="P34" s="843">
        <f t="shared" si="14"/>
        <v>-176.97431545000001</v>
      </c>
      <c r="Q34" s="843">
        <f t="shared" si="14"/>
        <v>-191.8690714</v>
      </c>
      <c r="R34" s="494"/>
      <c r="S34" s="843">
        <f>+S33+Q34</f>
        <v>-212.21706663333333</v>
      </c>
      <c r="T34" s="843">
        <f>+T33+S34</f>
        <v>-237.00971186666666</v>
      </c>
      <c r="U34" s="843">
        <f t="shared" ref="U34" si="15">+U33+T34</f>
        <v>-252.17645709999999</v>
      </c>
      <c r="V34" s="843">
        <f t="shared" ref="V34" si="16">+V33+U34</f>
        <v>-268.07385233333332</v>
      </c>
      <c r="W34" s="843">
        <f t="shared" ref="W34" si="17">+W33+V34</f>
        <v>-282.17434756666665</v>
      </c>
      <c r="X34" s="843">
        <f t="shared" ref="X34" si="18">+X33+W34</f>
        <v>-294.7528428</v>
      </c>
      <c r="Y34" s="843">
        <f t="shared" ref="Y34" si="19">+Y33+X34</f>
        <v>-309.6863380333333</v>
      </c>
      <c r="Z34" s="843">
        <f t="shared" ref="Z34" si="20">+Z33+Y34</f>
        <v>-324.19738326666663</v>
      </c>
      <c r="AA34" s="843">
        <f t="shared" ref="AA34" si="21">+AA33+Z34</f>
        <v>-336.82047849999998</v>
      </c>
      <c r="AB34" s="843">
        <f t="shared" ref="AB34" si="22">+AB33+AA34</f>
        <v>-352.45607373333331</v>
      </c>
      <c r="AC34" s="843">
        <f t="shared" ref="AC34" si="23">+AC33+AB34</f>
        <v>-366.90166896666665</v>
      </c>
      <c r="AD34" s="843">
        <f t="shared" ref="AD34" si="24">+AD33+AC34</f>
        <v>-379.61701419999997</v>
      </c>
      <c r="AF34" s="843">
        <f>+AF33+AD34</f>
        <v>-397.63979728333334</v>
      </c>
      <c r="AG34" s="843">
        <f>+AG33+AF34</f>
        <v>-413.28258036666665</v>
      </c>
      <c r="AH34" s="843">
        <f t="shared" ref="AH34" si="25">+AH33+AG34</f>
        <v>-429.06636344999998</v>
      </c>
      <c r="AI34" s="843">
        <f t="shared" ref="AI34" si="26">+AI33+AH34</f>
        <v>-435.54614653333334</v>
      </c>
      <c r="AJ34" s="843">
        <f t="shared" ref="AJ34" si="27">+AJ33+AI34</f>
        <v>-439.40792961666671</v>
      </c>
      <c r="AK34" s="843">
        <f t="shared" ref="AK34" si="28">+AK33+AJ34</f>
        <v>-440.67671270000005</v>
      </c>
      <c r="AL34" s="843">
        <f t="shared" ref="AL34" si="29">+AL33+AK34</f>
        <v>-450.48849578333341</v>
      </c>
      <c r="AM34" s="843">
        <f t="shared" ref="AM34" si="30">+AM33+AL34</f>
        <v>-456.25427886666677</v>
      </c>
      <c r="AN34" s="843">
        <f t="shared" ref="AN34" si="31">+AN33+AM34</f>
        <v>-455.50006195000009</v>
      </c>
      <c r="AO34" s="843">
        <f t="shared" ref="AO34" si="32">+AO33+AN34</f>
        <v>-460.19484503333342</v>
      </c>
      <c r="AP34" s="843">
        <f t="shared" ref="AP34" si="33">+AP33+AO34</f>
        <v>-465.36562811666676</v>
      </c>
      <c r="AQ34" s="881">
        <f t="shared" ref="AQ34" si="34">+AQ33+AP34</f>
        <v>-472.94141120000012</v>
      </c>
    </row>
    <row r="35" spans="1:43">
      <c r="A35" s="483"/>
      <c r="B35" s="389"/>
      <c r="C35" s="1123"/>
      <c r="D35" s="1140"/>
      <c r="R35" s="378"/>
      <c r="AQ35" s="845"/>
    </row>
    <row r="36" spans="1:43" ht="18" customHeight="1">
      <c r="A36" s="483"/>
      <c r="B36" s="853" t="s">
        <v>35</v>
      </c>
      <c r="C36" s="1117" t="s">
        <v>35</v>
      </c>
      <c r="D36" s="1135" t="s">
        <v>35</v>
      </c>
      <c r="F36" s="439"/>
      <c r="G36" s="439"/>
      <c r="H36" s="439"/>
      <c r="I36" s="439"/>
      <c r="J36" s="439"/>
      <c r="K36" s="439"/>
      <c r="L36" s="439"/>
      <c r="M36" s="439"/>
      <c r="N36" s="439"/>
      <c r="O36" s="439"/>
      <c r="P36" s="439"/>
      <c r="Q36" s="439"/>
      <c r="R36" s="378"/>
      <c r="S36" s="439"/>
      <c r="T36" s="439"/>
      <c r="U36" s="439"/>
      <c r="V36" s="439"/>
      <c r="W36" s="439"/>
      <c r="X36" s="439"/>
      <c r="Y36" s="439"/>
      <c r="Z36" s="439"/>
      <c r="AA36" s="439"/>
      <c r="AB36" s="439"/>
      <c r="AC36" s="439"/>
      <c r="AD36" s="439"/>
      <c r="AF36" s="439"/>
      <c r="AG36" s="439"/>
      <c r="AH36" s="439"/>
      <c r="AI36" s="439"/>
      <c r="AJ36" s="439"/>
      <c r="AK36" s="439"/>
      <c r="AL36" s="439"/>
      <c r="AM36" s="439"/>
      <c r="AN36" s="439"/>
      <c r="AO36" s="439"/>
      <c r="AP36" s="439"/>
      <c r="AQ36" s="882"/>
    </row>
    <row r="37" spans="1:43">
      <c r="A37" s="483"/>
      <c r="B37" s="858" t="s">
        <v>256</v>
      </c>
      <c r="C37" s="1124" t="s">
        <v>520</v>
      </c>
      <c r="D37" s="1141" t="s">
        <v>553</v>
      </c>
      <c r="E37" s="1130"/>
      <c r="F37" s="666">
        <v>0</v>
      </c>
      <c r="G37" s="666">
        <f t="shared" ref="G37:Q37" si="35">(-F7-F8+F19+F22+F24+F25+F26)/(1+VAT_Rate_normal)*VAT_Rate_normal</f>
        <v>0.99750095000000016</v>
      </c>
      <c r="H37" s="666">
        <f t="shared" si="35"/>
        <v>-0.37999904999999995</v>
      </c>
      <c r="I37" s="666">
        <f t="shared" si="35"/>
        <v>-0.79847804159663827</v>
      </c>
      <c r="J37" s="666">
        <f t="shared" si="35"/>
        <v>-0.84549904999999992</v>
      </c>
      <c r="K37" s="666">
        <f t="shared" si="35"/>
        <v>-0.65549905000000042</v>
      </c>
      <c r="L37" s="666">
        <f t="shared" si="35"/>
        <v>-1.7384990500000004</v>
      </c>
      <c r="M37" s="666">
        <f t="shared" si="35"/>
        <v>-0.78849905000000031</v>
      </c>
      <c r="N37" s="666">
        <f t="shared" si="35"/>
        <v>-0.8549990500000002</v>
      </c>
      <c r="O37" s="666">
        <f t="shared" si="35"/>
        <v>-1.7574990500000007</v>
      </c>
      <c r="P37" s="666">
        <f t="shared" si="35"/>
        <v>-1.0164990500000004</v>
      </c>
      <c r="Q37" s="666">
        <f t="shared" si="35"/>
        <v>-0.92149905000000032</v>
      </c>
      <c r="R37" s="378"/>
      <c r="S37" s="666">
        <f>(-Q7-Q8+Q19+Q22+Q24+Q25+Q26)/119*19</f>
        <v>-1.3489990500000002</v>
      </c>
      <c r="T37" s="666">
        <f t="shared" ref="T37:AD37" si="36">(-S7-S8+S19+S22+S24+S25+S26)/(1+VAT_Rate_normal)*VAT_Rate_normal</f>
        <v>-0.38949810000000007</v>
      </c>
      <c r="U37" s="666">
        <f t="shared" si="36"/>
        <v>0.3201519000000001</v>
      </c>
      <c r="V37" s="666">
        <f t="shared" si="36"/>
        <v>-1.6957480999999999</v>
      </c>
      <c r="W37" s="666">
        <f t="shared" si="36"/>
        <v>-1.1000981000000001</v>
      </c>
      <c r="X37" s="666">
        <f t="shared" si="36"/>
        <v>-1.3869980999999998</v>
      </c>
      <c r="Y37" s="666">
        <f t="shared" si="36"/>
        <v>-2.1089980999999991</v>
      </c>
      <c r="Z37" s="666">
        <f t="shared" si="36"/>
        <v>-1.2539980999999998</v>
      </c>
      <c r="AA37" s="666">
        <f t="shared" si="36"/>
        <v>-1.3214480999999996</v>
      </c>
      <c r="AB37" s="666">
        <f t="shared" si="36"/>
        <v>-2.1018770915966383</v>
      </c>
      <c r="AC37" s="666">
        <f t="shared" si="36"/>
        <v>-1.1418981000000006</v>
      </c>
      <c r="AD37" s="666">
        <f t="shared" si="36"/>
        <v>-1.3318981000000003</v>
      </c>
      <c r="AF37" s="666">
        <f>(-AD7-AD8+AD19+AD22+AD24+AD25+AD26)/119*19</f>
        <v>-2.0871481000000007</v>
      </c>
      <c r="AG37" s="666">
        <f t="shared" ref="AG37:AQ37" si="37">(-AF7-AF8+AF19+AF22+AF24+AF25+AF26)/(1+VAT_Rate_normal)*VAT_Rate_normal</f>
        <v>-0.94049525000000023</v>
      </c>
      <c r="AH37" s="666">
        <f t="shared" si="37"/>
        <v>-1.3204952499999998</v>
      </c>
      <c r="AI37" s="666">
        <f t="shared" si="37"/>
        <v>-1.7769742415966385</v>
      </c>
      <c r="AJ37" s="666">
        <f t="shared" si="37"/>
        <v>-2.7834952500000001</v>
      </c>
      <c r="AK37" s="666">
        <f t="shared" si="37"/>
        <v>-3.2014952500000002</v>
      </c>
      <c r="AL37" s="666">
        <f t="shared" si="37"/>
        <v>-4.0944952500000005</v>
      </c>
      <c r="AM37" s="666">
        <f t="shared" si="37"/>
        <v>-2.2514952499999996</v>
      </c>
      <c r="AN37" s="666">
        <f t="shared" si="37"/>
        <v>-2.89749525</v>
      </c>
      <c r="AO37" s="666">
        <f t="shared" si="37"/>
        <v>-4.4174952499999991</v>
      </c>
      <c r="AP37" s="666">
        <f t="shared" si="37"/>
        <v>-3.0684952499999998</v>
      </c>
      <c r="AQ37" s="666">
        <f t="shared" si="37"/>
        <v>-2.9924952499999997</v>
      </c>
    </row>
    <row r="38" spans="1:43">
      <c r="A38" s="483"/>
      <c r="B38" s="859" t="s">
        <v>247</v>
      </c>
      <c r="C38" s="1125" t="s">
        <v>519</v>
      </c>
      <c r="D38" s="1142" t="s">
        <v>517</v>
      </c>
      <c r="E38" s="1130"/>
      <c r="F38" s="750"/>
      <c r="G38" s="749"/>
      <c r="H38" s="749"/>
      <c r="I38" s="751"/>
      <c r="J38" s="749"/>
      <c r="K38" s="749"/>
      <c r="L38" s="749"/>
      <c r="M38" s="749"/>
      <c r="N38" s="749"/>
      <c r="O38" s="749"/>
      <c r="P38" s="749"/>
      <c r="Q38" s="749"/>
      <c r="R38" s="378"/>
      <c r="S38" s="750"/>
      <c r="T38" s="749"/>
      <c r="U38" s="749"/>
      <c r="V38" s="751"/>
      <c r="W38" s="749"/>
      <c r="X38" s="749"/>
      <c r="Y38" s="749"/>
      <c r="Z38" s="749"/>
      <c r="AA38" s="749"/>
      <c r="AB38" s="749"/>
      <c r="AC38" s="749"/>
      <c r="AD38" s="749"/>
      <c r="AF38" s="750"/>
      <c r="AG38" s="749"/>
      <c r="AH38" s="749"/>
      <c r="AI38" s="751"/>
      <c r="AJ38" s="749"/>
      <c r="AK38" s="749"/>
      <c r="AL38" s="749"/>
      <c r="AM38" s="749"/>
      <c r="AN38" s="749"/>
      <c r="AO38" s="749"/>
      <c r="AP38" s="749"/>
      <c r="AQ38" s="874"/>
    </row>
    <row r="39" spans="1:43">
      <c r="A39" s="483"/>
      <c r="B39" s="859" t="s">
        <v>255</v>
      </c>
      <c r="C39" s="1125" t="s">
        <v>521</v>
      </c>
      <c r="D39" s="1142" t="s">
        <v>522</v>
      </c>
      <c r="E39" s="1130"/>
      <c r="F39" s="749"/>
      <c r="G39" s="749"/>
      <c r="H39" s="749"/>
      <c r="I39" s="749"/>
      <c r="J39" s="749"/>
      <c r="K39" s="749"/>
      <c r="L39" s="749"/>
      <c r="M39" s="749"/>
      <c r="N39" s="749"/>
      <c r="O39" s="749"/>
      <c r="P39" s="749"/>
      <c r="Q39" s="749"/>
      <c r="R39" s="378"/>
      <c r="S39" s="749"/>
      <c r="T39" s="749"/>
      <c r="U39" s="749"/>
      <c r="V39" s="749"/>
      <c r="W39" s="749"/>
      <c r="X39" s="749"/>
      <c r="Y39" s="749"/>
      <c r="Z39" s="749"/>
      <c r="AA39" s="749"/>
      <c r="AB39" s="749"/>
      <c r="AC39" s="749"/>
      <c r="AD39" s="749"/>
      <c r="AF39" s="749"/>
      <c r="AG39" s="749"/>
      <c r="AH39" s="749"/>
      <c r="AI39" s="749"/>
      <c r="AJ39" s="749"/>
      <c r="AK39" s="749"/>
      <c r="AL39" s="749"/>
      <c r="AM39" s="749"/>
      <c r="AN39" s="749"/>
      <c r="AO39" s="749"/>
      <c r="AP39" s="749"/>
      <c r="AQ39" s="874"/>
    </row>
    <row r="40" spans="1:43">
      <c r="A40" s="483"/>
      <c r="B40" s="859" t="s">
        <v>255</v>
      </c>
      <c r="C40" s="1125" t="s">
        <v>523</v>
      </c>
      <c r="D40" s="1142" t="s">
        <v>518</v>
      </c>
      <c r="E40" s="1130"/>
      <c r="F40" s="749"/>
      <c r="G40" s="749"/>
      <c r="H40" s="749"/>
      <c r="I40" s="749"/>
      <c r="J40" s="749"/>
      <c r="K40" s="749"/>
      <c r="L40" s="749"/>
      <c r="M40" s="749"/>
      <c r="N40" s="749"/>
      <c r="O40" s="749"/>
      <c r="P40" s="749"/>
      <c r="Q40" s="749"/>
      <c r="R40" s="378"/>
      <c r="S40" s="749"/>
      <c r="T40" s="749"/>
      <c r="U40" s="749"/>
      <c r="V40" s="749"/>
      <c r="W40" s="749"/>
      <c r="X40" s="749"/>
      <c r="Y40" s="749"/>
      <c r="Z40" s="749"/>
      <c r="AA40" s="749"/>
      <c r="AB40" s="749"/>
      <c r="AC40" s="749"/>
      <c r="AD40" s="749"/>
      <c r="AF40" s="749"/>
      <c r="AG40" s="749"/>
      <c r="AH40" s="749"/>
      <c r="AI40" s="749"/>
      <c r="AJ40" s="749"/>
      <c r="AK40" s="749"/>
      <c r="AL40" s="749"/>
      <c r="AM40" s="749"/>
      <c r="AN40" s="749"/>
      <c r="AO40" s="749"/>
      <c r="AP40" s="749"/>
      <c r="AQ40" s="874"/>
    </row>
    <row r="41" spans="1:43">
      <c r="A41" s="483"/>
      <c r="B41" s="860" t="s">
        <v>95</v>
      </c>
      <c r="C41" s="1125"/>
      <c r="D41" s="1142" t="s">
        <v>576</v>
      </c>
      <c r="E41" s="1130"/>
      <c r="F41" s="749"/>
      <c r="G41" s="752"/>
      <c r="H41" s="749"/>
      <c r="I41" s="749"/>
      <c r="J41" s="749"/>
      <c r="K41" s="749"/>
      <c r="L41" s="753"/>
      <c r="M41" s="749"/>
      <c r="N41" s="752"/>
      <c r="O41" s="749"/>
      <c r="P41" s="749"/>
      <c r="Q41" s="753"/>
      <c r="R41" s="378"/>
      <c r="S41" s="749"/>
      <c r="T41" s="749"/>
      <c r="U41" s="749"/>
      <c r="V41" s="749"/>
      <c r="W41" s="749"/>
      <c r="X41" s="749"/>
      <c r="Y41" s="749"/>
      <c r="Z41" s="749"/>
      <c r="AA41" s="749"/>
      <c r="AB41" s="749"/>
      <c r="AC41" s="749"/>
      <c r="AD41" s="749"/>
      <c r="AF41" s="749"/>
      <c r="AG41" s="749"/>
      <c r="AH41" s="749"/>
      <c r="AI41" s="749"/>
      <c r="AJ41" s="749"/>
      <c r="AK41" s="749"/>
      <c r="AL41" s="749"/>
      <c r="AM41" s="749"/>
      <c r="AN41" s="749"/>
      <c r="AO41" s="749"/>
      <c r="AP41" s="749"/>
      <c r="AQ41" s="874"/>
    </row>
    <row r="42" spans="1:43">
      <c r="A42" s="483"/>
      <c r="B42" s="860" t="s">
        <v>95</v>
      </c>
      <c r="C42" s="1126"/>
      <c r="D42" s="1142"/>
      <c r="E42" s="1130"/>
      <c r="F42" s="749"/>
      <c r="G42" s="749"/>
      <c r="H42" s="749"/>
      <c r="I42" s="749"/>
      <c r="J42" s="749"/>
      <c r="K42" s="751"/>
      <c r="L42" s="749"/>
      <c r="M42" s="749"/>
      <c r="N42" s="749"/>
      <c r="O42" s="749"/>
      <c r="P42" s="749"/>
      <c r="Q42" s="749"/>
      <c r="R42" s="378"/>
      <c r="S42" s="749"/>
      <c r="T42" s="749"/>
      <c r="U42" s="749"/>
      <c r="V42" s="749"/>
      <c r="W42" s="749"/>
      <c r="X42" s="751"/>
      <c r="Y42" s="749"/>
      <c r="Z42" s="749"/>
      <c r="AA42" s="749"/>
      <c r="AB42" s="749"/>
      <c r="AC42" s="749"/>
      <c r="AD42" s="749"/>
      <c r="AF42" s="749"/>
      <c r="AG42" s="749"/>
      <c r="AH42" s="749"/>
      <c r="AI42" s="749"/>
      <c r="AJ42" s="749"/>
      <c r="AK42" s="751"/>
      <c r="AL42" s="749"/>
      <c r="AM42" s="749"/>
      <c r="AN42" s="749"/>
      <c r="AO42" s="749"/>
      <c r="AP42" s="749"/>
      <c r="AQ42" s="874"/>
    </row>
    <row r="43" spans="1:43">
      <c r="A43" s="483"/>
      <c r="B43" s="437"/>
      <c r="C43" s="1127" t="s">
        <v>279</v>
      </c>
      <c r="D43" s="1139" t="s">
        <v>524</v>
      </c>
      <c r="E43" s="420"/>
      <c r="F43" s="725">
        <v>0</v>
      </c>
      <c r="G43" s="492"/>
      <c r="H43" s="492"/>
      <c r="I43" s="492"/>
      <c r="J43" s="492"/>
      <c r="K43" s="492"/>
      <c r="L43" s="532"/>
      <c r="M43" s="492"/>
      <c r="N43" s="532"/>
      <c r="O43" s="492"/>
      <c r="P43" s="492"/>
      <c r="Q43" s="492"/>
      <c r="R43" s="378"/>
      <c r="S43" s="725">
        <v>0</v>
      </c>
      <c r="T43" s="492"/>
      <c r="U43" s="492"/>
      <c r="V43" s="492"/>
      <c r="W43" s="492"/>
      <c r="X43" s="492"/>
      <c r="Y43" s="532"/>
      <c r="Z43" s="492"/>
      <c r="AA43" s="532"/>
      <c r="AB43" s="492"/>
      <c r="AC43" s="492"/>
      <c r="AD43" s="492"/>
      <c r="AF43" s="725">
        <v>0</v>
      </c>
      <c r="AG43" s="492"/>
      <c r="AH43" s="492"/>
      <c r="AI43" s="492"/>
      <c r="AJ43" s="492"/>
      <c r="AK43" s="492"/>
      <c r="AL43" s="532"/>
      <c r="AM43" s="492"/>
      <c r="AN43" s="532"/>
      <c r="AO43" s="492"/>
      <c r="AP43" s="492"/>
      <c r="AQ43" s="883"/>
    </row>
    <row r="44" spans="1:43" s="376" customFormat="1">
      <c r="A44" s="493"/>
      <c r="B44" s="849" t="s">
        <v>251</v>
      </c>
      <c r="C44" s="1113" t="s">
        <v>27</v>
      </c>
      <c r="D44" s="1135" t="s">
        <v>525</v>
      </c>
      <c r="E44" s="1130"/>
      <c r="F44" s="844">
        <f t="shared" ref="F44:Q44" si="38">SUM(F37:F43)</f>
        <v>0</v>
      </c>
      <c r="G44" s="844">
        <f t="shared" si="38"/>
        <v>0.99750095000000016</v>
      </c>
      <c r="H44" s="844">
        <f t="shared" si="38"/>
        <v>-0.37999904999999995</v>
      </c>
      <c r="I44" s="844">
        <f t="shared" si="38"/>
        <v>-0.79847804159663827</v>
      </c>
      <c r="J44" s="844">
        <f t="shared" si="38"/>
        <v>-0.84549904999999992</v>
      </c>
      <c r="K44" s="844">
        <f t="shared" si="38"/>
        <v>-0.65549905000000042</v>
      </c>
      <c r="L44" s="844">
        <f t="shared" si="38"/>
        <v>-1.7384990500000004</v>
      </c>
      <c r="M44" s="844">
        <f t="shared" si="38"/>
        <v>-0.78849905000000031</v>
      </c>
      <c r="N44" s="844">
        <f t="shared" si="38"/>
        <v>-0.8549990500000002</v>
      </c>
      <c r="O44" s="844">
        <f t="shared" si="38"/>
        <v>-1.7574990500000007</v>
      </c>
      <c r="P44" s="844">
        <f t="shared" si="38"/>
        <v>-1.0164990500000004</v>
      </c>
      <c r="Q44" s="844">
        <f t="shared" si="38"/>
        <v>-0.92149905000000032</v>
      </c>
      <c r="R44" s="494"/>
      <c r="S44" s="844">
        <f t="shared" ref="S44:AD44" si="39">SUM(S37:S43)</f>
        <v>-1.3489990500000002</v>
      </c>
      <c r="T44" s="844">
        <f t="shared" si="39"/>
        <v>-0.38949810000000007</v>
      </c>
      <c r="U44" s="844">
        <f t="shared" si="39"/>
        <v>0.3201519000000001</v>
      </c>
      <c r="V44" s="844">
        <f t="shared" si="39"/>
        <v>-1.6957480999999999</v>
      </c>
      <c r="W44" s="844">
        <f t="shared" si="39"/>
        <v>-1.1000981000000001</v>
      </c>
      <c r="X44" s="844">
        <f t="shared" si="39"/>
        <v>-1.3869980999999998</v>
      </c>
      <c r="Y44" s="844">
        <f t="shared" si="39"/>
        <v>-2.1089980999999991</v>
      </c>
      <c r="Z44" s="844">
        <f t="shared" si="39"/>
        <v>-1.2539980999999998</v>
      </c>
      <c r="AA44" s="844">
        <f t="shared" si="39"/>
        <v>-1.3214480999999996</v>
      </c>
      <c r="AB44" s="844">
        <f t="shared" si="39"/>
        <v>-2.1018770915966383</v>
      </c>
      <c r="AC44" s="844">
        <f t="shared" si="39"/>
        <v>-1.1418981000000006</v>
      </c>
      <c r="AD44" s="844">
        <f t="shared" si="39"/>
        <v>-1.3318981000000003</v>
      </c>
      <c r="AF44" s="844">
        <f t="shared" ref="AF44:AQ44" si="40">SUM(AF37:AF43)</f>
        <v>-2.0871481000000007</v>
      </c>
      <c r="AG44" s="844">
        <f t="shared" si="40"/>
        <v>-0.94049525000000023</v>
      </c>
      <c r="AH44" s="844">
        <f t="shared" si="40"/>
        <v>-1.3204952499999998</v>
      </c>
      <c r="AI44" s="844">
        <f t="shared" si="40"/>
        <v>-1.7769742415966385</v>
      </c>
      <c r="AJ44" s="844">
        <f t="shared" si="40"/>
        <v>-2.7834952500000001</v>
      </c>
      <c r="AK44" s="844">
        <f t="shared" si="40"/>
        <v>-3.2014952500000002</v>
      </c>
      <c r="AL44" s="844">
        <f t="shared" si="40"/>
        <v>-4.0944952500000005</v>
      </c>
      <c r="AM44" s="844">
        <f t="shared" si="40"/>
        <v>-2.2514952499999996</v>
      </c>
      <c r="AN44" s="844">
        <f t="shared" si="40"/>
        <v>-2.89749525</v>
      </c>
      <c r="AO44" s="844">
        <f t="shared" si="40"/>
        <v>-4.4174952499999991</v>
      </c>
      <c r="AP44" s="844">
        <f t="shared" si="40"/>
        <v>-3.0684952499999998</v>
      </c>
      <c r="AQ44" s="884">
        <f t="shared" si="40"/>
        <v>-2.9924952499999997</v>
      </c>
    </row>
    <row r="45" spans="1:43" ht="10.5" customHeight="1">
      <c r="A45" s="483"/>
      <c r="B45" s="437"/>
      <c r="C45" s="1127"/>
      <c r="D45" s="1139"/>
      <c r="F45" s="495"/>
      <c r="G45" s="495"/>
      <c r="H45" s="495"/>
      <c r="I45" s="495"/>
      <c r="J45" s="495"/>
      <c r="K45" s="495"/>
      <c r="L45" s="495"/>
      <c r="M45" s="495"/>
      <c r="N45" s="495"/>
      <c r="O45" s="495"/>
      <c r="P45" s="495"/>
      <c r="Q45" s="495"/>
      <c r="R45" s="378"/>
      <c r="S45" s="495"/>
      <c r="T45" s="495"/>
      <c r="U45" s="495"/>
      <c r="V45" s="495"/>
      <c r="W45" s="495"/>
      <c r="X45" s="495"/>
      <c r="Y45" s="495"/>
      <c r="Z45" s="495"/>
      <c r="AA45" s="495"/>
      <c r="AB45" s="495"/>
      <c r="AC45" s="495"/>
      <c r="AD45" s="495"/>
      <c r="AF45" s="495"/>
      <c r="AG45" s="495"/>
      <c r="AH45" s="495"/>
      <c r="AI45" s="495"/>
      <c r="AJ45" s="495"/>
      <c r="AK45" s="495"/>
      <c r="AL45" s="495"/>
      <c r="AM45" s="495"/>
      <c r="AN45" s="495"/>
      <c r="AO45" s="495"/>
      <c r="AP45" s="495"/>
      <c r="AQ45" s="880"/>
    </row>
    <row r="46" spans="1:43" s="376" customFormat="1" ht="12" customHeight="1">
      <c r="A46" s="493"/>
      <c r="B46" s="853" t="s">
        <v>252</v>
      </c>
      <c r="C46" s="1117" t="s">
        <v>25</v>
      </c>
      <c r="D46" s="1135" t="s">
        <v>526</v>
      </c>
      <c r="E46" s="1130"/>
      <c r="F46" s="843">
        <f t="shared" ref="F46:Q46" si="41">+F33+F44</f>
        <v>-4.6004226166666662</v>
      </c>
      <c r="G46" s="843">
        <f t="shared" si="41"/>
        <v>-19.974588333333333</v>
      </c>
      <c r="H46" s="843">
        <f t="shared" si="41"/>
        <v>-18.730255000000003</v>
      </c>
      <c r="I46" s="843">
        <f t="shared" si="41"/>
        <v>-18.853400658263304</v>
      </c>
      <c r="J46" s="843">
        <f t="shared" si="41"/>
        <v>-20.089588333333332</v>
      </c>
      <c r="K46" s="843">
        <f t="shared" si="41"/>
        <v>-13.115755</v>
      </c>
      <c r="L46" s="843">
        <f t="shared" si="41"/>
        <v>-20.147921666666669</v>
      </c>
      <c r="M46" s="843">
        <f t="shared" si="41"/>
        <v>-18.780588333333334</v>
      </c>
      <c r="N46" s="843">
        <f t="shared" si="41"/>
        <v>-13.193754999999999</v>
      </c>
      <c r="O46" s="843">
        <f t="shared" si="41"/>
        <v>-18.736421666666665</v>
      </c>
      <c r="P46" s="843">
        <f t="shared" si="41"/>
        <v>-18.589588333333332</v>
      </c>
      <c r="Q46" s="843">
        <f t="shared" si="41"/>
        <v>-15.816255</v>
      </c>
      <c r="R46" s="494"/>
      <c r="S46" s="843">
        <f t="shared" ref="S46:AD46" si="42">+S33+S44</f>
        <v>-21.696994283333332</v>
      </c>
      <c r="T46" s="843">
        <f t="shared" si="42"/>
        <v>-25.182143333333332</v>
      </c>
      <c r="U46" s="843">
        <f t="shared" si="42"/>
        <v>-14.846593333333336</v>
      </c>
      <c r="V46" s="843">
        <f t="shared" si="42"/>
        <v>-17.59314333333333</v>
      </c>
      <c r="W46" s="843">
        <f t="shared" si="42"/>
        <v>-15.20059333333333</v>
      </c>
      <c r="X46" s="843">
        <f t="shared" si="42"/>
        <v>-13.965493333333335</v>
      </c>
      <c r="Y46" s="843">
        <f t="shared" si="42"/>
        <v>-17.042493333333329</v>
      </c>
      <c r="Z46" s="843">
        <f t="shared" si="42"/>
        <v>-15.765043333333333</v>
      </c>
      <c r="AA46" s="843">
        <f t="shared" si="42"/>
        <v>-13.944543333333334</v>
      </c>
      <c r="AB46" s="843">
        <f t="shared" si="42"/>
        <v>-17.737472324929971</v>
      </c>
      <c r="AC46" s="843">
        <f t="shared" si="42"/>
        <v>-15.587493333333331</v>
      </c>
      <c r="AD46" s="843">
        <f t="shared" si="42"/>
        <v>-14.047243333333327</v>
      </c>
      <c r="AF46" s="843">
        <f t="shared" ref="AF46:AQ46" si="43">+AF33+AF44</f>
        <v>-20.109931183333337</v>
      </c>
      <c r="AG46" s="843">
        <f t="shared" si="43"/>
        <v>-16.58327833333334</v>
      </c>
      <c r="AH46" s="843">
        <f t="shared" si="43"/>
        <v>-17.10427833333334</v>
      </c>
      <c r="AI46" s="843">
        <f t="shared" si="43"/>
        <v>-8.2567573249299766</v>
      </c>
      <c r="AJ46" s="843">
        <f t="shared" si="43"/>
        <v>-6.6452783333333425</v>
      </c>
      <c r="AK46" s="843">
        <f t="shared" si="43"/>
        <v>-4.47027833333334</v>
      </c>
      <c r="AL46" s="843">
        <f t="shared" si="43"/>
        <v>-13.906278333333344</v>
      </c>
      <c r="AM46" s="843">
        <f t="shared" si="43"/>
        <v>-8.0172783333333388</v>
      </c>
      <c r="AN46" s="843">
        <f t="shared" si="43"/>
        <v>-2.1432783333333432</v>
      </c>
      <c r="AO46" s="843">
        <f t="shared" si="43"/>
        <v>-9.1122783333333395</v>
      </c>
      <c r="AP46" s="843">
        <f t="shared" si="43"/>
        <v>-8.2392783333333401</v>
      </c>
      <c r="AQ46" s="881">
        <f t="shared" si="43"/>
        <v>-10.568278333333337</v>
      </c>
    </row>
    <row r="47" spans="1:43" s="376" customFormat="1" ht="12" customHeight="1">
      <c r="A47" s="493"/>
      <c r="B47" s="856" t="s">
        <v>253</v>
      </c>
      <c r="C47" s="1121" t="s">
        <v>26</v>
      </c>
      <c r="D47" s="1143" t="s">
        <v>527</v>
      </c>
      <c r="E47" s="1130"/>
      <c r="F47" s="842">
        <f>F46</f>
        <v>-4.6004226166666662</v>
      </c>
      <c r="G47" s="842">
        <f>+F47+G46</f>
        <v>-24.575010949999999</v>
      </c>
      <c r="H47" s="842">
        <f>+G47+H46</f>
        <v>-43.305265950000006</v>
      </c>
      <c r="I47" s="842">
        <f>+H47+I46</f>
        <v>-62.15866660826331</v>
      </c>
      <c r="J47" s="842">
        <f t="shared" ref="J47:Q47" si="44">+I47+J46</f>
        <v>-82.248254941596642</v>
      </c>
      <c r="K47" s="842">
        <f t="shared" si="44"/>
        <v>-95.364009941596635</v>
      </c>
      <c r="L47" s="842">
        <f t="shared" si="44"/>
        <v>-115.5119316082633</v>
      </c>
      <c r="M47" s="842">
        <f t="shared" si="44"/>
        <v>-134.29251994159662</v>
      </c>
      <c r="N47" s="842">
        <f t="shared" si="44"/>
        <v>-147.48627494159663</v>
      </c>
      <c r="O47" s="842">
        <f t="shared" si="44"/>
        <v>-166.22269660826331</v>
      </c>
      <c r="P47" s="842">
        <f t="shared" si="44"/>
        <v>-184.81228494159663</v>
      </c>
      <c r="Q47" s="842">
        <f t="shared" si="44"/>
        <v>-200.62853994159664</v>
      </c>
      <c r="R47" s="494"/>
      <c r="S47" s="842">
        <f>+Q47+S46</f>
        <v>-222.32553422492998</v>
      </c>
      <c r="T47" s="842">
        <f>+S47+T46</f>
        <v>-247.50767755826331</v>
      </c>
      <c r="U47" s="842">
        <f>+T47+U46</f>
        <v>-262.35427089159663</v>
      </c>
      <c r="V47" s="842">
        <f>+U47+V46</f>
        <v>-279.94741422492996</v>
      </c>
      <c r="W47" s="842">
        <f t="shared" ref="W47" si="45">+V47+W46</f>
        <v>-295.14800755826332</v>
      </c>
      <c r="X47" s="842">
        <f t="shared" ref="X47" si="46">+W47+X46</f>
        <v>-309.11350089159663</v>
      </c>
      <c r="Y47" s="842">
        <f t="shared" ref="Y47" si="47">+X47+Y46</f>
        <v>-326.15599422492994</v>
      </c>
      <c r="Z47" s="842">
        <f t="shared" ref="Z47" si="48">+Y47+Z46</f>
        <v>-341.92103755826327</v>
      </c>
      <c r="AA47" s="842">
        <f t="shared" ref="AA47" si="49">+Z47+AA46</f>
        <v>-355.86558089159661</v>
      </c>
      <c r="AB47" s="842">
        <f t="shared" ref="AB47" si="50">+AA47+AB46</f>
        <v>-373.60305321652658</v>
      </c>
      <c r="AC47" s="842">
        <f t="shared" ref="AC47" si="51">+AB47+AC46</f>
        <v>-389.1905465498599</v>
      </c>
      <c r="AD47" s="842">
        <f t="shared" ref="AD47" si="52">+AC47+AD46</f>
        <v>-403.23778988319322</v>
      </c>
      <c r="AF47" s="842">
        <f>+AD47+AF46</f>
        <v>-423.34772106652656</v>
      </c>
      <c r="AG47" s="842">
        <f>+AF47+AG46</f>
        <v>-439.9309993998599</v>
      </c>
      <c r="AH47" s="842">
        <f>+AG47+AH46</f>
        <v>-457.03527773319325</v>
      </c>
      <c r="AI47" s="842">
        <f>+AH47+AI46</f>
        <v>-465.29203505812325</v>
      </c>
      <c r="AJ47" s="842">
        <f t="shared" ref="AJ47" si="53">+AI47+AJ46</f>
        <v>-471.9373133914566</v>
      </c>
      <c r="AK47" s="842">
        <f t="shared" ref="AK47" si="54">+AJ47+AK46</f>
        <v>-476.40759172478994</v>
      </c>
      <c r="AL47" s="842">
        <f t="shared" ref="AL47" si="55">+AK47+AL46</f>
        <v>-490.31387005812326</v>
      </c>
      <c r="AM47" s="842">
        <f t="shared" ref="AM47" si="56">+AL47+AM46</f>
        <v>-498.33114839145662</v>
      </c>
      <c r="AN47" s="842">
        <f t="shared" ref="AN47" si="57">+AM47+AN46</f>
        <v>-500.47442672478996</v>
      </c>
      <c r="AO47" s="842">
        <f t="shared" ref="AO47" si="58">+AN47+AO46</f>
        <v>-509.5867050581233</v>
      </c>
      <c r="AP47" s="842">
        <f t="shared" ref="AP47" si="59">+AO47+AP46</f>
        <v>-517.82598339145659</v>
      </c>
      <c r="AQ47" s="879">
        <f t="shared" ref="AQ47" si="60">+AP47+AQ46</f>
        <v>-528.39426172478989</v>
      </c>
    </row>
    <row r="48" spans="1:43" ht="10.5" customHeight="1">
      <c r="A48" s="496"/>
      <c r="B48" s="437"/>
      <c r="C48" s="496"/>
      <c r="D48" s="887"/>
      <c r="E48" s="885"/>
      <c r="F48" s="885"/>
      <c r="G48" s="885"/>
      <c r="H48" s="885"/>
      <c r="I48" s="885"/>
      <c r="J48" s="885"/>
      <c r="K48" s="885"/>
      <c r="L48" s="885"/>
      <c r="M48" s="885"/>
      <c r="N48" s="885"/>
      <c r="O48" s="885"/>
      <c r="P48" s="885"/>
      <c r="Q48" s="885"/>
      <c r="R48" s="886"/>
      <c r="S48" s="885"/>
      <c r="T48" s="885"/>
      <c r="U48" s="885"/>
      <c r="V48" s="885"/>
      <c r="W48" s="885"/>
      <c r="X48" s="885"/>
      <c r="Y48" s="885"/>
      <c r="Z48" s="885"/>
      <c r="AA48" s="885"/>
      <c r="AB48" s="885"/>
      <c r="AC48" s="885"/>
      <c r="AD48" s="885"/>
      <c r="AE48" s="887"/>
      <c r="AF48" s="885"/>
      <c r="AG48" s="885"/>
      <c r="AH48" s="885"/>
      <c r="AI48" s="885"/>
      <c r="AJ48" s="885"/>
      <c r="AK48" s="885"/>
      <c r="AL48" s="885"/>
      <c r="AM48" s="885"/>
      <c r="AN48" s="885"/>
      <c r="AO48" s="885"/>
      <c r="AP48" s="885"/>
      <c r="AQ48" s="888"/>
    </row>
    <row r="50" spans="3:4">
      <c r="C50" s="1112" t="s">
        <v>484</v>
      </c>
      <c r="D50" s="509"/>
    </row>
    <row r="51" spans="3:4">
      <c r="C51" s="509" t="s">
        <v>486</v>
      </c>
      <c r="D51" s="509"/>
    </row>
    <row r="52" spans="3:4">
      <c r="C52" s="509"/>
      <c r="D52" s="509"/>
    </row>
    <row r="53" spans="3:4">
      <c r="C53" s="509"/>
      <c r="D53" s="509"/>
    </row>
    <row r="54" spans="3:4">
      <c r="C54" s="509"/>
      <c r="D54" s="509"/>
    </row>
    <row r="55" spans="3:4">
      <c r="C55" s="509"/>
      <c r="D55" s="509"/>
    </row>
    <row r="56" spans="3:4">
      <c r="C56" s="509"/>
      <c r="D56" s="509"/>
    </row>
    <row r="57" spans="3:4">
      <c r="C57" s="509"/>
      <c r="D57" s="509"/>
    </row>
    <row r="58" spans="3:4">
      <c r="C58" s="509"/>
      <c r="D58" s="509"/>
    </row>
    <row r="59" spans="3:4">
      <c r="C59" s="509"/>
      <c r="D59" s="509"/>
    </row>
    <row r="60" spans="3:4">
      <c r="C60" s="509"/>
      <c r="D60" s="509"/>
    </row>
    <row r="61" spans="3:4">
      <c r="C61" s="509"/>
      <c r="D61" s="509"/>
    </row>
    <row r="62" spans="3:4">
      <c r="C62" s="509"/>
      <c r="D62" s="509"/>
    </row>
  </sheetData>
  <phoneticPr fontId="5" type="noConversion"/>
  <printOptions horizontalCentered="1"/>
  <pageMargins left="0.7" right="0.7" top="0.75" bottom="0.75" header="0.3" footer="0.3"/>
  <pageSetup paperSize="9" scale="59" orientation="portrait" horizontalDpi="4294967292" verticalDpi="4294967292"/>
  <headerFooter>
    <oddFooter>&amp;L&amp;"Arial,Standard"Business Case&amp;C&amp;"Arial,Standard"&amp;F&amp;R&amp;"Arial,Standard"&amp;D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71"/>
  <sheetViews>
    <sheetView showGridLines="0" zoomScale="170" zoomScaleNormal="170" zoomScalePageLayoutView="130" workbookViewId="0">
      <pane xSplit="6" ySplit="6" topLeftCell="G9" activePane="bottomRight" state="frozen"/>
      <selection pane="topRight" activeCell="G1" sqref="G1"/>
      <selection pane="bottomLeft" activeCell="A7" sqref="A7"/>
      <selection pane="bottomRight" activeCell="I23" sqref="I23"/>
    </sheetView>
  </sheetViews>
  <sheetFormatPr baseColWidth="10" defaultColWidth="11.796875" defaultRowHeight="15" customHeight="1" outlineLevelRow="1"/>
  <cols>
    <col min="1" max="1" width="2.19921875" style="445" customWidth="1"/>
    <col min="2" max="2" width="1.3984375" style="445" customWidth="1"/>
    <col min="3" max="3" width="46.19921875" style="453" hidden="1" customWidth="1"/>
    <col min="4" max="4" width="36.19921875" style="445" customWidth="1"/>
    <col min="5" max="5" width="3.19921875" style="445" customWidth="1"/>
    <col min="6" max="6" width="0.19921875" style="445" customWidth="1"/>
    <col min="7" max="7" width="7.796875" style="445" customWidth="1"/>
    <col min="8" max="8" width="8.796875" style="445" customWidth="1"/>
    <col min="9" max="9" width="7.19921875" style="445" customWidth="1"/>
    <col min="10" max="10" width="1.19921875" style="445" customWidth="1"/>
    <col min="11" max="11" width="9.3984375" style="445" customWidth="1"/>
    <col min="12" max="12" width="1" style="445" customWidth="1"/>
    <col min="13" max="13" width="10" style="445" customWidth="1"/>
    <col min="14" max="14" width="1.19921875" style="445" customWidth="1"/>
    <col min="15" max="16384" width="11.796875" style="445"/>
  </cols>
  <sheetData>
    <row r="2" spans="2:14" ht="15" customHeight="1">
      <c r="B2" s="1215" t="s">
        <v>548</v>
      </c>
      <c r="C2" s="1216"/>
      <c r="D2" s="1216"/>
      <c r="E2" s="1216"/>
      <c r="F2" s="1216"/>
      <c r="G2" s="1216"/>
      <c r="H2" s="1216"/>
      <c r="I2" s="1216"/>
      <c r="J2" s="1216"/>
      <c r="K2" s="1216"/>
      <c r="L2" s="1216"/>
      <c r="M2" s="1216"/>
      <c r="N2" s="755"/>
    </row>
    <row r="3" spans="2:14" ht="15" customHeight="1">
      <c r="B3" s="446"/>
      <c r="C3" s="447" t="str">
        <f>+Parameter!D4&amp;", "&amp;Parameter!D15</f>
        <v>company name, Location</v>
      </c>
      <c r="D3" s="448" t="str">
        <f>+Parameter!D4&amp;", "&amp;Parameter!D15</f>
        <v>company name, Location</v>
      </c>
      <c r="E3" s="448"/>
      <c r="F3" s="436"/>
      <c r="G3" s="436"/>
      <c r="H3" s="497"/>
      <c r="I3" s="449"/>
      <c r="J3" s="775" t="s">
        <v>28</v>
      </c>
      <c r="K3" s="450">
        <f>+Parameter!D23</f>
        <v>1000</v>
      </c>
      <c r="L3" s="777"/>
      <c r="M3" s="652" t="s">
        <v>257</v>
      </c>
      <c r="N3" s="477"/>
    </row>
    <row r="4" spans="2:14" ht="15" customHeight="1">
      <c r="B4" s="446"/>
      <c r="E4" s="448"/>
      <c r="F4" s="436"/>
      <c r="G4" s="530" t="s">
        <v>139</v>
      </c>
      <c r="H4" s="530" t="s">
        <v>488</v>
      </c>
      <c r="I4" s="498" t="s">
        <v>552</v>
      </c>
      <c r="J4" s="451"/>
      <c r="K4" s="648" t="s">
        <v>139</v>
      </c>
      <c r="L4" s="650"/>
      <c r="M4" s="648" t="s">
        <v>139</v>
      </c>
      <c r="N4" s="477"/>
    </row>
    <row r="5" spans="2:14" ht="15" customHeight="1">
      <c r="B5" s="446"/>
      <c r="C5" s="1144"/>
      <c r="D5" s="1156"/>
      <c r="E5" s="382"/>
      <c r="F5" s="454"/>
      <c r="G5" s="1217" t="str">
        <f>Parameter!$D$8&amp;" "&amp;Parameter!D6</f>
        <v>Year 2023</v>
      </c>
      <c r="H5" s="1218"/>
      <c r="I5" s="1219"/>
      <c r="J5" s="756"/>
      <c r="K5" s="757" t="str">
        <f>Parameter!$D$8&amp;" "&amp;Parameter!E6</f>
        <v>Year 2024</v>
      </c>
      <c r="L5" s="382"/>
      <c r="M5" s="758" t="str">
        <f>Parameter!$D$8&amp;" "&amp;Parameter!F6</f>
        <v>Year 2025</v>
      </c>
      <c r="N5" s="477"/>
    </row>
    <row r="6" spans="2:14" ht="15" customHeight="1">
      <c r="B6" s="446"/>
      <c r="C6" s="1145" t="s">
        <v>303</v>
      </c>
      <c r="D6" s="1157" t="s">
        <v>298</v>
      </c>
      <c r="E6" s="455"/>
      <c r="F6" s="455"/>
      <c r="G6" s="823" t="s">
        <v>267</v>
      </c>
      <c r="H6" s="822" t="s">
        <v>18</v>
      </c>
      <c r="I6" s="823" t="s">
        <v>24</v>
      </c>
      <c r="J6" s="640"/>
      <c r="K6" s="823" t="s">
        <v>18</v>
      </c>
      <c r="L6" s="455"/>
      <c r="M6" s="823" t="s">
        <v>18</v>
      </c>
      <c r="N6" s="477"/>
    </row>
    <row r="7" spans="2:14" s="458" customFormat="1" ht="13" customHeight="1">
      <c r="B7" s="456"/>
      <c r="C7" s="457" t="str">
        <f>+'P&amp;L Detail'!C8</f>
        <v>Umsatzerlöse (brutto, ohne Minderungen)</v>
      </c>
      <c r="D7" s="1158" t="s">
        <v>46</v>
      </c>
      <c r="G7" s="531">
        <f>'P&amp;L Detail'!AD8</f>
        <v>107.99994000000001</v>
      </c>
      <c r="H7" s="531">
        <f>'P&amp;L Detail'!AF8</f>
        <v>123.84995499999999</v>
      </c>
      <c r="I7" s="824">
        <f>IFERROR(1-(G7/H7),0)</f>
        <v>0.12797755962042934</v>
      </c>
      <c r="J7" s="643"/>
      <c r="K7" s="649">
        <f>SUM(K8:K12)</f>
        <v>152.59988000000001</v>
      </c>
      <c r="L7" s="431"/>
      <c r="M7" s="531">
        <f>SUM(M8:M12)</f>
        <v>268.99970000000002</v>
      </c>
      <c r="N7" s="478"/>
    </row>
    <row r="8" spans="2:14" ht="13" customHeight="1">
      <c r="B8" s="446"/>
      <c r="C8" s="1146" t="str">
        <f>+'P&amp;L Detail'!C9</f>
        <v xml:space="preserve">    Product 1</v>
      </c>
      <c r="D8" s="1159" t="str">
        <f>+'P&amp;L Detail'!D9</f>
        <v xml:space="preserve">    Product 1</v>
      </c>
      <c r="G8" s="610">
        <f>'P&amp;L Detail'!AD9</f>
        <v>20</v>
      </c>
      <c r="H8" s="610">
        <f>'P&amp;L Detail'!AF9</f>
        <v>20</v>
      </c>
      <c r="I8" s="824">
        <f t="shared" ref="I8:I16" si="0">IFERROR(1-(G8/H8),0)</f>
        <v>0</v>
      </c>
      <c r="J8" s="641"/>
      <c r="K8" s="629">
        <f>+'P&amp;L Detail'!AL9</f>
        <v>27.5</v>
      </c>
      <c r="L8" s="833"/>
      <c r="M8" s="629">
        <f>+'P&amp;L Detail'!AR9</f>
        <v>32</v>
      </c>
      <c r="N8" s="478"/>
    </row>
    <row r="9" spans="2:14" ht="13" customHeight="1">
      <c r="B9" s="446"/>
      <c r="C9" s="1146" t="str">
        <f>+'P&amp;L Detail'!C10</f>
        <v xml:space="preserve">    Product 2</v>
      </c>
      <c r="D9" s="1159" t="str">
        <f>+'P&amp;L Detail'!D10</f>
        <v xml:space="preserve">    Product 2</v>
      </c>
      <c r="G9" s="610">
        <f>'P&amp;L Detail'!AD10</f>
        <v>70</v>
      </c>
      <c r="H9" s="610">
        <f>'P&amp;L Detail'!AF10</f>
        <v>70.400000000000006</v>
      </c>
      <c r="I9" s="824">
        <f t="shared" si="0"/>
        <v>5.6818181818182323E-3</v>
      </c>
      <c r="J9" s="641"/>
      <c r="K9" s="629">
        <f>+'P&amp;L Detail'!AL10</f>
        <v>91</v>
      </c>
      <c r="L9" s="833"/>
      <c r="M9" s="629">
        <f>+'P&amp;L Detail'!AR10</f>
        <v>156</v>
      </c>
      <c r="N9" s="478"/>
    </row>
    <row r="10" spans="2:14" ht="13" customHeight="1">
      <c r="B10" s="446"/>
      <c r="C10" s="1146" t="str">
        <f>+'P&amp;L Detail'!C11</f>
        <v xml:space="preserve">    Product 3</v>
      </c>
      <c r="D10" s="1159" t="str">
        <f>+'P&amp;L Detail'!D11</f>
        <v xml:space="preserve">    Product 3</v>
      </c>
      <c r="G10" s="610">
        <f>'P&amp;L Detail'!AD11</f>
        <v>15.999940000000002</v>
      </c>
      <c r="H10" s="610">
        <f>'P&amp;L Detail'!AF11</f>
        <v>22.249955</v>
      </c>
      <c r="I10" s="824">
        <f t="shared" si="0"/>
        <v>0.28090011867439724</v>
      </c>
      <c r="J10" s="641"/>
      <c r="K10" s="629">
        <f>+'P&amp;L Detail'!AL11</f>
        <v>30.999880000000005</v>
      </c>
      <c r="L10" s="833"/>
      <c r="M10" s="629">
        <f>+'P&amp;L Detail'!AR11</f>
        <v>77.499700000000018</v>
      </c>
      <c r="N10" s="478"/>
    </row>
    <row r="11" spans="2:14" ht="13" customHeight="1">
      <c r="B11" s="446"/>
      <c r="C11" s="1146" t="str">
        <f>+'P&amp;L Detail'!C12</f>
        <v xml:space="preserve">    Product 4</v>
      </c>
      <c r="D11" s="1159" t="str">
        <f>+'P&amp;L Detail'!D12</f>
        <v xml:space="preserve">    Product 4</v>
      </c>
      <c r="G11" s="398">
        <f>'P&amp;L Detail'!AD12</f>
        <v>1</v>
      </c>
      <c r="H11" s="398">
        <f>'P&amp;L Detail'!AF12</f>
        <v>5.7</v>
      </c>
      <c r="I11" s="824">
        <f t="shared" si="0"/>
        <v>0.82456140350877194</v>
      </c>
      <c r="J11" s="641"/>
      <c r="K11" s="629">
        <f>+'P&amp;L Detail'!AL12</f>
        <v>2</v>
      </c>
      <c r="L11" s="833"/>
      <c r="M11" s="629">
        <f>+'P&amp;L Detail'!AR12</f>
        <v>2</v>
      </c>
      <c r="N11" s="477"/>
    </row>
    <row r="12" spans="2:14" ht="13" customHeight="1">
      <c r="B12" s="446"/>
      <c r="C12" s="1146" t="str">
        <f>+'P&amp;L Detail'!C13</f>
        <v xml:space="preserve">    Product 5</v>
      </c>
      <c r="D12" s="1159" t="str">
        <f>+'P&amp;L Detail'!D13</f>
        <v xml:space="preserve">    Product 5</v>
      </c>
      <c r="G12" s="398">
        <f>'P&amp;L Detail'!AD13</f>
        <v>1</v>
      </c>
      <c r="H12" s="398">
        <f>'P&amp;L Detail'!AF13</f>
        <v>5.5</v>
      </c>
      <c r="I12" s="824">
        <f t="shared" si="0"/>
        <v>0.81818181818181812</v>
      </c>
      <c r="J12" s="641"/>
      <c r="K12" s="629">
        <f>+'P&amp;L Detail'!AL13</f>
        <v>1.1000000000000001</v>
      </c>
      <c r="L12" s="833"/>
      <c r="M12" s="629">
        <f>+'P&amp;L Detail'!AR13</f>
        <v>1.5</v>
      </c>
      <c r="N12" s="477"/>
    </row>
    <row r="13" spans="2:14" ht="13" customHeight="1">
      <c r="B13" s="446"/>
      <c r="C13" s="1146" t="str">
        <f>+'P&amp;L Detail'!C14</f>
        <v>Gesamt-Erlösminderungen, Skonti, Provisionen</v>
      </c>
      <c r="D13" s="1159" t="str">
        <f>+'P&amp;L Detail'!D14</f>
        <v>Granted Discounts, sales provisions, etc.</v>
      </c>
      <c r="E13" s="461"/>
      <c r="F13" s="461"/>
      <c r="G13" s="398">
        <f>+'P&amp;L Detail'!AD14</f>
        <v>-0.84239953199999995</v>
      </c>
      <c r="H13" s="398">
        <f>+'P&amp;L Detail'!AF14</f>
        <v>-0.84239953199999995</v>
      </c>
      <c r="I13" s="824">
        <f t="shared" si="0"/>
        <v>0</v>
      </c>
      <c r="J13" s="644"/>
      <c r="K13" s="629">
        <f>+'P&amp;L Detail'!AL14</f>
        <v>-1.1902790640000001</v>
      </c>
      <c r="L13" s="836"/>
      <c r="M13" s="629">
        <f>+'P&amp;L Detail'!AR14</f>
        <v>-2.0981976599999999</v>
      </c>
      <c r="N13" s="477"/>
    </row>
    <row r="14" spans="2:14" ht="13" customHeight="1">
      <c r="B14" s="446"/>
      <c r="C14" s="1146" t="str">
        <f>+'P&amp;L Detail'!C15</f>
        <v>Bestandsveränderungen (Erhöhung +; Verminderung -)</v>
      </c>
      <c r="D14" s="1159" t="str">
        <f>+'P&amp;L Detail'!D15</f>
        <v>Increase (Decrease) in finished Goods and WiP</v>
      </c>
      <c r="G14" s="398">
        <f>'P&amp;L Detail'!AD15</f>
        <v>0</v>
      </c>
      <c r="H14" s="398">
        <f>'P&amp;L Detail'!AF15</f>
        <v>0</v>
      </c>
      <c r="I14" s="824">
        <f t="shared" si="0"/>
        <v>0</v>
      </c>
      <c r="J14" s="641"/>
      <c r="K14" s="629">
        <f>+'P&amp;L Detail'!AL15</f>
        <v>0</v>
      </c>
      <c r="L14" s="833"/>
      <c r="M14" s="629">
        <f>+'P&amp;L Detail'!AR15</f>
        <v>0</v>
      </c>
      <c r="N14" s="477"/>
    </row>
    <row r="15" spans="2:14" s="436" customFormat="1" ht="13" customHeight="1">
      <c r="B15" s="462"/>
      <c r="C15" s="1146" t="str">
        <f>+'P&amp;L Detail'!C16</f>
        <v>Andere aktivierte Eigenleistungen</v>
      </c>
      <c r="D15" s="1159" t="str">
        <f>+'P&amp;L Detail'!D16</f>
        <v>Own Work capitalised</v>
      </c>
      <c r="E15" s="463"/>
      <c r="F15" s="463"/>
      <c r="G15" s="398">
        <f>'P&amp;L Detail'!AD16</f>
        <v>0</v>
      </c>
      <c r="H15" s="398">
        <f>'P&amp;L Detail'!AF16</f>
        <v>0</v>
      </c>
      <c r="I15" s="824">
        <f t="shared" si="0"/>
        <v>0</v>
      </c>
      <c r="J15" s="644"/>
      <c r="K15" s="629">
        <f>+'P&amp;L Detail'!AL16</f>
        <v>0</v>
      </c>
      <c r="L15" s="836"/>
      <c r="M15" s="629">
        <f>+'P&amp;L Detail'!AR16</f>
        <v>0</v>
      </c>
      <c r="N15" s="479"/>
    </row>
    <row r="16" spans="2:14" ht="13" customHeight="1">
      <c r="B16" s="446"/>
      <c r="C16" s="1146" t="str">
        <f>+'P&amp;L Detail'!C17</f>
        <v>Sonstige betriebliche Erträge (Zuschuss ILB)</v>
      </c>
      <c r="D16" s="1159" t="str">
        <f>+'P&amp;L Detail'!D17</f>
        <v>Other operating Income</v>
      </c>
      <c r="G16" s="398">
        <f>'P&amp;L Detail'!AD17</f>
        <v>0</v>
      </c>
      <c r="H16" s="398">
        <f>'P&amp;L Detail'!AF17</f>
        <v>0</v>
      </c>
      <c r="I16" s="824">
        <f t="shared" si="0"/>
        <v>0</v>
      </c>
      <c r="J16" s="644"/>
      <c r="K16" s="629">
        <f>+'P&amp;L Detail'!AL17</f>
        <v>0</v>
      </c>
      <c r="L16" s="836"/>
      <c r="M16" s="629">
        <f>+'P&amp;L Detail'!AR17</f>
        <v>0</v>
      </c>
      <c r="N16" s="477"/>
    </row>
    <row r="17" spans="2:15" ht="13" customHeight="1">
      <c r="B17" s="446"/>
      <c r="C17" s="464"/>
      <c r="D17" s="1160"/>
      <c r="G17" s="406"/>
      <c r="H17" s="406"/>
      <c r="I17" s="625"/>
      <c r="J17" s="641"/>
      <c r="K17" s="630"/>
      <c r="L17" s="833"/>
      <c r="M17" s="630"/>
      <c r="N17" s="477"/>
    </row>
    <row r="18" spans="2:15" ht="13" customHeight="1">
      <c r="B18" s="446"/>
      <c r="C18" s="791" t="s">
        <v>189</v>
      </c>
      <c r="D18" s="1161" t="s">
        <v>83</v>
      </c>
      <c r="E18" s="458"/>
      <c r="F18" s="760"/>
      <c r="G18" s="761">
        <f>'P&amp;L Detail'!AD20</f>
        <v>107.15754046800001</v>
      </c>
      <c r="H18" s="761">
        <f>'P&amp;L Detail'!AF20</f>
        <v>123.00755546799999</v>
      </c>
      <c r="I18" s="762">
        <f>IFERROR(1-(H18/G18),0)</f>
        <v>-0.14791320266195562</v>
      </c>
      <c r="J18" s="776"/>
      <c r="K18" s="763">
        <f>SUM(K8:K17)</f>
        <v>151.409600936</v>
      </c>
      <c r="L18" s="825"/>
      <c r="M18" s="763">
        <f>SUM(M8:M17)</f>
        <v>266.90150234000004</v>
      </c>
      <c r="N18" s="477"/>
      <c r="O18" s="458"/>
    </row>
    <row r="19" spans="2:15" s="458" customFormat="1" ht="13" customHeight="1">
      <c r="B19" s="456"/>
      <c r="C19" s="457" t="s">
        <v>190</v>
      </c>
      <c r="D19" s="1158" t="s">
        <v>191</v>
      </c>
      <c r="G19" s="473">
        <f>'P&amp;L Detail'!AD21</f>
        <v>46.2</v>
      </c>
      <c r="H19" s="473">
        <f>'P&amp;L Detail'!AF21</f>
        <v>46.2</v>
      </c>
      <c r="I19" s="824">
        <f t="shared" ref="I19:I21" si="1">IFERROR(1-(G19/H19),0)</f>
        <v>0</v>
      </c>
      <c r="J19" s="643"/>
      <c r="K19" s="631">
        <f>SUM(K20:K21)</f>
        <v>6.4</v>
      </c>
      <c r="L19" s="431"/>
      <c r="M19" s="631">
        <f>SUM(M20:M21)</f>
        <v>7.6</v>
      </c>
      <c r="N19" s="477"/>
    </row>
    <row r="20" spans="2:15" ht="13" customHeight="1">
      <c r="B20" s="446"/>
      <c r="C20" s="460" t="str">
        <f>+'P&amp;L Detail'!C22</f>
        <v>… für Roh-, Hilfs- und Betriebsstoffe und bezogenen Waren</v>
      </c>
      <c r="D20" s="1162" t="str">
        <f>+'P&amp;L Detail'!D22</f>
        <v>…ow Cost of raw Material and Supplies</v>
      </c>
      <c r="G20" s="398">
        <f>'P&amp;L Detail'!AD22</f>
        <v>42.2</v>
      </c>
      <c r="H20" s="398">
        <f>'P&amp;L Detail'!AF22</f>
        <v>42.2</v>
      </c>
      <c r="I20" s="824">
        <f t="shared" si="1"/>
        <v>0</v>
      </c>
      <c r="J20" s="641"/>
      <c r="K20" s="632">
        <f>+'P&amp;L Detail'!AL22</f>
        <v>2.4</v>
      </c>
      <c r="L20" s="833"/>
      <c r="M20" s="632">
        <f>+'P&amp;L Detail'!AR22</f>
        <v>3.6</v>
      </c>
      <c r="N20" s="477"/>
    </row>
    <row r="21" spans="2:15" ht="13" customHeight="1">
      <c r="B21" s="446"/>
      <c r="C21" s="460" t="str">
        <f>+'P&amp;L Detail'!C23</f>
        <v>… für bezogene Leistungen</v>
      </c>
      <c r="D21" s="1162" t="str">
        <f>+'P&amp;L Detail'!D23</f>
        <v>…ow Cost of purchased Services</v>
      </c>
      <c r="E21" s="461"/>
      <c r="F21" s="461"/>
      <c r="G21" s="398">
        <f>'P&amp;L Detail'!AD23</f>
        <v>4</v>
      </c>
      <c r="H21" s="398">
        <f>'P&amp;L Detail'!AF23</f>
        <v>4</v>
      </c>
      <c r="I21" s="824">
        <f t="shared" si="1"/>
        <v>0</v>
      </c>
      <c r="J21" s="644"/>
      <c r="K21" s="632">
        <f>+'P&amp;L Detail'!AL23</f>
        <v>4</v>
      </c>
      <c r="L21" s="836"/>
      <c r="M21" s="632">
        <f>+'P&amp;L Detail'!AR23</f>
        <v>4</v>
      </c>
      <c r="N21" s="477"/>
    </row>
    <row r="22" spans="2:15" s="436" customFormat="1" ht="13" customHeight="1">
      <c r="B22" s="462"/>
      <c r="C22" s="791" t="s">
        <v>196</v>
      </c>
      <c r="D22" s="1161" t="s">
        <v>197</v>
      </c>
      <c r="E22" s="463"/>
      <c r="F22" s="764"/>
      <c r="G22" s="761">
        <f>'P&amp;L Detail'!AD24</f>
        <v>60.957540468000005</v>
      </c>
      <c r="H22" s="761">
        <f>'P&amp;L Detail'!AF24</f>
        <v>22.281830116999998</v>
      </c>
      <c r="I22" s="762">
        <f t="shared" ref="I22:I38" si="2">IFERROR(1-(H22/G22),0)</f>
        <v>0.63446966616546863</v>
      </c>
      <c r="J22" s="776"/>
      <c r="K22" s="763">
        <f>+K18-K19</f>
        <v>145.009600936</v>
      </c>
      <c r="L22" s="825"/>
      <c r="M22" s="763">
        <f>+M18-M19</f>
        <v>259.30150234000001</v>
      </c>
      <c r="N22" s="479"/>
      <c r="O22" s="458"/>
    </row>
    <row r="23" spans="2:15" s="463" customFormat="1" ht="13" customHeight="1">
      <c r="B23" s="474"/>
      <c r="C23" s="457" t="s">
        <v>198</v>
      </c>
      <c r="D23" s="1158" t="s">
        <v>199</v>
      </c>
      <c r="E23" s="458"/>
      <c r="F23" s="459"/>
      <c r="G23" s="473">
        <f ca="1">'P&amp;L Detail'!AD25</f>
        <v>267.24</v>
      </c>
      <c r="H23" s="473">
        <f ca="1">'P&amp;L Detail'!AF25</f>
        <v>267.24</v>
      </c>
      <c r="I23" s="824">
        <f t="shared" ref="I23" ca="1" si="3">IFERROR(1-(G23/H23),0)</f>
        <v>0</v>
      </c>
      <c r="J23" s="643"/>
      <c r="K23" s="631">
        <f ca="1">SUM(K24:K26)</f>
        <v>272.58479999999997</v>
      </c>
      <c r="L23" s="431"/>
      <c r="M23" s="631">
        <f ca="1">SUM(M24:M26)</f>
        <v>286.21404000000001</v>
      </c>
      <c r="N23" s="479"/>
    </row>
    <row r="24" spans="2:15" ht="13" hidden="1" customHeight="1" outlineLevel="1">
      <c r="B24" s="446"/>
      <c r="C24" s="460" t="str">
        <f>+'P&amp;L Detail'!C26</f>
        <v>… davon Geschäftsführergehalt</v>
      </c>
      <c r="D24" s="1162" t="str">
        <f>+'P&amp;L Detail'!D26</f>
        <v>…ow Managing Directors</v>
      </c>
      <c r="F24" s="452"/>
      <c r="G24" s="398">
        <f ca="1">'P&amp;L Detail'!AD26</f>
        <v>120</v>
      </c>
      <c r="H24" s="398">
        <f ca="1">'P&amp;L Detail'!AF26</f>
        <v>120</v>
      </c>
      <c r="I24" s="624">
        <f t="shared" ca="1" si="2"/>
        <v>0</v>
      </c>
      <c r="J24" s="641"/>
      <c r="K24" s="632">
        <f ca="1">+'P&amp;L Detail'!AL26</f>
        <v>122.39999999999999</v>
      </c>
      <c r="L24" s="833"/>
      <c r="M24" s="632">
        <f ca="1">+'P&amp;L Detail'!AR26</f>
        <v>128.52000000000001</v>
      </c>
      <c r="N24" s="477"/>
    </row>
    <row r="25" spans="2:15" s="436" customFormat="1" ht="13" hidden="1" customHeight="1" outlineLevel="1">
      <c r="B25" s="462"/>
      <c r="C25" s="460" t="str">
        <f>+'P&amp;L Detail'!C27</f>
        <v>… davon Löhne &amp; Gehälter</v>
      </c>
      <c r="D25" s="1162" t="str">
        <f>+'P&amp;L Detail'!D27</f>
        <v>…ow Wages and Salaries</v>
      </c>
      <c r="E25" s="461"/>
      <c r="F25" s="466"/>
      <c r="G25" s="398">
        <f ca="1">'P&amp;L Detail'!AD27</f>
        <v>102</v>
      </c>
      <c r="H25" s="398">
        <f ca="1">'P&amp;L Detail'!AF27</f>
        <v>102</v>
      </c>
      <c r="I25" s="624">
        <f t="shared" ca="1" si="2"/>
        <v>0</v>
      </c>
      <c r="J25" s="644"/>
      <c r="K25" s="632">
        <f ca="1">+'P&amp;L Detail'!AL27</f>
        <v>104.03999999999998</v>
      </c>
      <c r="L25" s="836"/>
      <c r="M25" s="632">
        <f ca="1">+'P&amp;L Detail'!AR27</f>
        <v>109.24199999999999</v>
      </c>
      <c r="N25" s="479"/>
    </row>
    <row r="26" spans="2:15" ht="13" hidden="1" customHeight="1" outlineLevel="1">
      <c r="B26" s="446"/>
      <c r="C26" s="460" t="str">
        <f>+'P&amp;L Detail'!C28</f>
        <v>… davon soziale Abgaben/Aufw. für Altersverversorgung</v>
      </c>
      <c r="D26" s="1162" t="str">
        <f>+'P&amp;L Detail'!D28</f>
        <v>…ow Social Security, Pension &amp; other Benefits</v>
      </c>
      <c r="F26" s="452"/>
      <c r="G26" s="398">
        <f>'P&amp;L Detail'!AD28</f>
        <v>45.240000000000009</v>
      </c>
      <c r="H26" s="398">
        <f>'P&amp;L Detail'!AF28</f>
        <v>45.240000000000009</v>
      </c>
      <c r="I26" s="624">
        <f t="shared" si="2"/>
        <v>0</v>
      </c>
      <c r="J26" s="641"/>
      <c r="K26" s="632">
        <f>+'P&amp;L Detail'!AL28</f>
        <v>46.144800000000004</v>
      </c>
      <c r="L26" s="833"/>
      <c r="M26" s="632">
        <f>+'P&amp;L Detail'!AR28</f>
        <v>48.452040000000004</v>
      </c>
      <c r="N26" s="477"/>
    </row>
    <row r="27" spans="2:15" s="458" customFormat="1" ht="13" customHeight="1" collapsed="1">
      <c r="B27" s="456"/>
      <c r="C27" s="1147" t="s">
        <v>204</v>
      </c>
      <c r="D27" s="1163" t="s">
        <v>205</v>
      </c>
      <c r="E27" s="463"/>
      <c r="F27" s="467"/>
      <c r="G27" s="475">
        <f>'P&amp;L Detail'!AD29</f>
        <v>0</v>
      </c>
      <c r="H27" s="475">
        <f>'P&amp;L Detail'!AF29</f>
        <v>0</v>
      </c>
      <c r="I27" s="824">
        <f t="shared" ref="I27" si="4">IFERROR(1-(G27/H27),0)</f>
        <v>0</v>
      </c>
      <c r="J27" s="645"/>
      <c r="K27" s="633">
        <f>SUM(K28:K29)</f>
        <v>0</v>
      </c>
      <c r="L27" s="837"/>
      <c r="M27" s="633">
        <f>SUM(M28:M29)</f>
        <v>0</v>
      </c>
      <c r="N27" s="477"/>
    </row>
    <row r="28" spans="2:15" s="436" customFormat="1" ht="13" hidden="1" customHeight="1" outlineLevel="1">
      <c r="B28" s="462"/>
      <c r="C28" s="1148" t="str">
        <f>+'P&amp;L Detail'!C30</f>
        <v>… davon auf Vermögensgegenstände des Anlagevermögens</v>
      </c>
      <c r="D28" s="1164" t="str">
        <f>+'P&amp;L Detail'!D30</f>
        <v>…ow on Fixed Assets</v>
      </c>
      <c r="E28" s="445"/>
      <c r="F28" s="452"/>
      <c r="G28" s="398">
        <f>'P&amp;L Detail'!AD30</f>
        <v>0</v>
      </c>
      <c r="H28" s="398">
        <f>'P&amp;L Detail'!AF30</f>
        <v>0</v>
      </c>
      <c r="I28" s="624">
        <f t="shared" si="2"/>
        <v>0</v>
      </c>
      <c r="J28" s="644"/>
      <c r="K28" s="632">
        <f>+'P&amp;L Detail'!AL30</f>
        <v>0</v>
      </c>
      <c r="L28" s="836"/>
      <c r="M28" s="632">
        <f>+'P&amp;L Detail'!AR30</f>
        <v>0</v>
      </c>
      <c r="N28" s="479"/>
    </row>
    <row r="29" spans="2:15" s="436" customFormat="1" ht="13" hidden="1" customHeight="1" outlineLevel="1">
      <c r="B29" s="462"/>
      <c r="C29" s="1148" t="str">
        <f>+'P&amp;L Detail'!C31</f>
        <v>… davon auf Vermögensgegenstände des Umlaufvermögens</v>
      </c>
      <c r="D29" s="1164" t="str">
        <f>+'P&amp;L Detail'!D31</f>
        <v>…ow on Currrent Assets</v>
      </c>
      <c r="E29" s="445"/>
      <c r="F29" s="452"/>
      <c r="G29" s="398">
        <f>'P&amp;L Detail'!AD31</f>
        <v>0</v>
      </c>
      <c r="H29" s="398">
        <f>'P&amp;L Detail'!AF31</f>
        <v>0</v>
      </c>
      <c r="I29" s="624">
        <f t="shared" si="2"/>
        <v>0</v>
      </c>
      <c r="J29" s="641"/>
      <c r="K29" s="632">
        <f>+'P&amp;L Detail'!AL31</f>
        <v>0</v>
      </c>
      <c r="L29" s="833"/>
      <c r="M29" s="632">
        <f>+'P&amp;L Detail'!AR31</f>
        <v>0</v>
      </c>
      <c r="N29" s="479"/>
    </row>
    <row r="30" spans="2:15" s="463" customFormat="1" ht="13" customHeight="1" collapsed="1">
      <c r="B30" s="474"/>
      <c r="C30" s="476" t="s">
        <v>210</v>
      </c>
      <c r="D30" s="1165" t="s">
        <v>250</v>
      </c>
      <c r="E30" s="458"/>
      <c r="F30" s="459"/>
      <c r="G30" s="475">
        <f>'P&amp;L Detail'!AD32</f>
        <v>8.9</v>
      </c>
      <c r="H30" s="475">
        <f>'P&amp;L Detail'!AF32</f>
        <v>8.9</v>
      </c>
      <c r="I30" s="824">
        <f t="shared" ref="I30" si="5">IFERROR(1-(G30/H30),0)</f>
        <v>0</v>
      </c>
      <c r="J30" s="643"/>
      <c r="K30" s="633">
        <f>SUM(K31:K38)</f>
        <v>9.9</v>
      </c>
      <c r="L30" s="431"/>
      <c r="M30" s="633">
        <f>SUM(M31:M38)</f>
        <v>10.9</v>
      </c>
      <c r="N30" s="479"/>
    </row>
    <row r="31" spans="2:15" s="436" customFormat="1" ht="13" hidden="1" customHeight="1" outlineLevel="1">
      <c r="B31" s="462"/>
      <c r="C31" s="460" t="str">
        <f>+'P&amp;L Detail'!C33</f>
        <v>… davon Miet- und Leasingaufwendungen</v>
      </c>
      <c r="D31" s="1162" t="str">
        <f>+'P&amp;L Detail'!D33</f>
        <v>…ow Rent and Leases</v>
      </c>
      <c r="E31" s="445"/>
      <c r="F31" s="452"/>
      <c r="G31" s="398">
        <f>'P&amp;L Detail'!AD33</f>
        <v>1.5</v>
      </c>
      <c r="H31" s="398">
        <f>'P&amp;L Detail'!AF33</f>
        <v>1.5</v>
      </c>
      <c r="I31" s="624">
        <f t="shared" si="2"/>
        <v>0</v>
      </c>
      <c r="J31" s="641"/>
      <c r="K31" s="632">
        <f>+'P&amp;L Detail'!AL33</f>
        <v>1.5</v>
      </c>
      <c r="L31" s="833"/>
      <c r="M31" s="632">
        <f>+'P&amp;L Detail'!AR33</f>
        <v>1.5</v>
      </c>
      <c r="N31" s="479"/>
    </row>
    <row r="32" spans="2:15" s="436" customFormat="1" ht="13" hidden="1" customHeight="1" outlineLevel="1">
      <c r="B32" s="462"/>
      <c r="C32" s="460" t="str">
        <f>+'P&amp;L Detail'!C34</f>
        <v>… davon Vertriebs-/Marketingkosten</v>
      </c>
      <c r="D32" s="1162" t="str">
        <f>+'P&amp;L Detail'!D34</f>
        <v>…ow Distribution/Marketing</v>
      </c>
      <c r="E32" s="461"/>
      <c r="F32" s="466"/>
      <c r="G32" s="398">
        <f>'P&amp;L Detail'!AD34</f>
        <v>1.5</v>
      </c>
      <c r="H32" s="398">
        <f>'P&amp;L Detail'!AF34</f>
        <v>1.5</v>
      </c>
      <c r="I32" s="624">
        <f t="shared" si="2"/>
        <v>0</v>
      </c>
      <c r="J32" s="644"/>
      <c r="K32" s="632">
        <f>+'P&amp;L Detail'!AL34</f>
        <v>1.5</v>
      </c>
      <c r="L32" s="836"/>
      <c r="M32" s="632">
        <f>+'P&amp;L Detail'!AR34</f>
        <v>1.5</v>
      </c>
      <c r="N32" s="479"/>
    </row>
    <row r="33" spans="2:14" ht="13" hidden="1" customHeight="1" outlineLevel="1">
      <c r="B33" s="446"/>
      <c r="C33" s="460" t="str">
        <f>+'P&amp;L Detail'!C35</f>
        <v>… davon Verwaltungskosten</v>
      </c>
      <c r="D33" s="1162" t="str">
        <f>+'P&amp;L Detail'!D35</f>
        <v>...ow Administration</v>
      </c>
      <c r="F33" s="452"/>
      <c r="G33" s="398">
        <f>'P&amp;L Detail'!AD35</f>
        <v>0.6</v>
      </c>
      <c r="H33" s="398">
        <f>'P&amp;L Detail'!AF35</f>
        <v>0.6</v>
      </c>
      <c r="I33" s="624">
        <f t="shared" si="2"/>
        <v>0</v>
      </c>
      <c r="J33" s="641"/>
      <c r="K33" s="632">
        <f>+'P&amp;L Detail'!AL35</f>
        <v>0.6</v>
      </c>
      <c r="L33" s="833"/>
      <c r="M33" s="632">
        <f>+'P&amp;L Detail'!AR35</f>
        <v>0.6</v>
      </c>
      <c r="N33" s="477"/>
    </row>
    <row r="34" spans="2:14" ht="13" hidden="1" customHeight="1" outlineLevel="1">
      <c r="B34" s="446"/>
      <c r="C34" s="460" t="str">
        <f>+'P&amp;L Detail'!C36</f>
        <v>… davon Versicherungen</v>
      </c>
      <c r="D34" s="1162" t="str">
        <f>+'P&amp;L Detail'!D36</f>
        <v>…ow Insurance</v>
      </c>
      <c r="E34" s="463"/>
      <c r="F34" s="467"/>
      <c r="G34" s="398">
        <f>'P&amp;L Detail'!AD36</f>
        <v>0.6</v>
      </c>
      <c r="H34" s="398">
        <f>'P&amp;L Detail'!AF36</f>
        <v>0.6</v>
      </c>
      <c r="I34" s="624">
        <f t="shared" si="2"/>
        <v>0</v>
      </c>
      <c r="J34" s="644"/>
      <c r="K34" s="632">
        <f>+'P&amp;L Detail'!AL36</f>
        <v>0.6</v>
      </c>
      <c r="L34" s="836"/>
      <c r="M34" s="632">
        <f>+'P&amp;L Detail'!AR36</f>
        <v>0.6</v>
      </c>
      <c r="N34" s="477"/>
    </row>
    <row r="35" spans="2:14" ht="13" hidden="1" customHeight="1" outlineLevel="1">
      <c r="B35" s="446"/>
      <c r="C35" s="460" t="str">
        <f>+'P&amp;L Detail'!C37</f>
        <v>… davon Fremdleistungen (siehe "bezogene Leistungen")</v>
      </c>
      <c r="D35" s="1162" t="str">
        <f>+'P&amp;L Detail'!D37</f>
        <v>…ow external Services</v>
      </c>
      <c r="F35" s="452"/>
      <c r="G35" s="398">
        <f>'P&amp;L Detail'!AD37</f>
        <v>0</v>
      </c>
      <c r="H35" s="398">
        <f>'P&amp;L Detail'!AF37</f>
        <v>0</v>
      </c>
      <c r="I35" s="624">
        <f t="shared" si="2"/>
        <v>0</v>
      </c>
      <c r="J35" s="644"/>
      <c r="K35" s="632">
        <f>+'P&amp;L Detail'!AL37</f>
        <v>0</v>
      </c>
      <c r="L35" s="836"/>
      <c r="M35" s="632">
        <f>+'P&amp;L Detail'!AR37</f>
        <v>0</v>
      </c>
      <c r="N35" s="477"/>
    </row>
    <row r="36" spans="2:14" ht="13" hidden="1" customHeight="1" outlineLevel="1">
      <c r="B36" s="446"/>
      <c r="C36" s="460" t="str">
        <f>+'P&amp;L Detail'!C38</f>
        <v>… davon Rechts-/Beratungskosten</v>
      </c>
      <c r="D36" s="1162" t="str">
        <f>+'P&amp;L Detail'!D38</f>
        <v>…ow legal services, tax advice</v>
      </c>
      <c r="F36" s="452"/>
      <c r="G36" s="398">
        <f>'P&amp;L Detail'!AD38</f>
        <v>0.4</v>
      </c>
      <c r="H36" s="398">
        <f>'P&amp;L Detail'!AF38</f>
        <v>0.4</v>
      </c>
      <c r="I36" s="624">
        <f t="shared" si="2"/>
        <v>0</v>
      </c>
      <c r="J36" s="641"/>
      <c r="K36" s="632">
        <f>+'P&amp;L Detail'!AL38</f>
        <v>0.4</v>
      </c>
      <c r="L36" s="833"/>
      <c r="M36" s="632">
        <f>+'P&amp;L Detail'!AR38</f>
        <v>0.4</v>
      </c>
      <c r="N36" s="477"/>
    </row>
    <row r="37" spans="2:14" ht="13" hidden="1" customHeight="1" outlineLevel="1">
      <c r="B37" s="446"/>
      <c r="C37" s="460" t="str">
        <f>+'P&amp;L Detail'!C39</f>
        <v>… davon Buchführung/Abschluss</v>
      </c>
      <c r="D37" s="1162" t="str">
        <f>+'P&amp;L Detail'!D39</f>
        <v>…ow bookkeeping, closing</v>
      </c>
      <c r="E37" s="458"/>
      <c r="F37" s="459"/>
      <c r="G37" s="398">
        <f>'P&amp;L Detail'!AD39</f>
        <v>0.3</v>
      </c>
      <c r="H37" s="398">
        <f>'P&amp;L Detail'!AF39</f>
        <v>0.3</v>
      </c>
      <c r="I37" s="624">
        <f t="shared" si="2"/>
        <v>0</v>
      </c>
      <c r="J37" s="641"/>
      <c r="K37" s="632">
        <f>+'P&amp;L Detail'!AL39</f>
        <v>0.3</v>
      </c>
      <c r="L37" s="833"/>
      <c r="M37" s="632">
        <f>+'P&amp;L Detail'!AR39</f>
        <v>0.3</v>
      </c>
      <c r="N37" s="477"/>
    </row>
    <row r="38" spans="2:14" ht="13" hidden="1" customHeight="1" outlineLevel="1">
      <c r="B38" s="446"/>
      <c r="C38" s="460" t="str">
        <f>+'P&amp;L Detail'!C40</f>
        <v>… davon Lizenzen</v>
      </c>
      <c r="D38" s="1162" t="str">
        <f>+'P&amp;L Detail'!D40</f>
        <v>…ow licenses paid</v>
      </c>
      <c r="F38" s="452"/>
      <c r="G38" s="398">
        <f>'P&amp;L Detail'!AD40</f>
        <v>4</v>
      </c>
      <c r="H38" s="398">
        <f>'P&amp;L Detail'!AF40</f>
        <v>4</v>
      </c>
      <c r="I38" s="624">
        <f t="shared" si="2"/>
        <v>0</v>
      </c>
      <c r="J38" s="641"/>
      <c r="K38" s="632">
        <f>+'P&amp;L Detail'!AL40</f>
        <v>5</v>
      </c>
      <c r="L38" s="833"/>
      <c r="M38" s="632">
        <f>+'P&amp;L Detail'!AR40</f>
        <v>6</v>
      </c>
      <c r="N38" s="477"/>
    </row>
    <row r="39" spans="2:14" s="436" customFormat="1" ht="13" hidden="1" customHeight="1" outlineLevel="1">
      <c r="B39" s="462"/>
      <c r="C39" s="460"/>
      <c r="D39" s="1162"/>
      <c r="E39" s="461"/>
      <c r="F39" s="466"/>
      <c r="G39" s="398"/>
      <c r="H39" s="398"/>
      <c r="I39" s="626"/>
      <c r="J39" s="644"/>
      <c r="K39" s="632"/>
      <c r="L39" s="836"/>
      <c r="M39" s="632"/>
      <c r="N39" s="479"/>
    </row>
    <row r="40" spans="2:14" s="436" customFormat="1" ht="13" customHeight="1" collapsed="1">
      <c r="B40" s="462"/>
      <c r="C40" s="460"/>
      <c r="D40" s="1162"/>
      <c r="E40" s="445"/>
      <c r="F40" s="452"/>
      <c r="G40" s="398"/>
      <c r="H40" s="398"/>
      <c r="I40" s="626"/>
      <c r="J40" s="641"/>
      <c r="K40" s="632"/>
      <c r="L40" s="833"/>
      <c r="M40" s="632"/>
      <c r="N40" s="479"/>
    </row>
    <row r="41" spans="2:14" ht="13">
      <c r="B41" s="446"/>
      <c r="C41" s="791" t="s">
        <v>108</v>
      </c>
      <c r="D41" s="1161" t="s">
        <v>222</v>
      </c>
      <c r="F41" s="765"/>
      <c r="G41" s="761">
        <f ca="1">'P&amp;L Detail'!AD43</f>
        <v>-215.18245953200002</v>
      </c>
      <c r="H41" s="761">
        <f ca="1">'P&amp;L Detail'!AF43</f>
        <v>-50.428169883000002</v>
      </c>
      <c r="I41" s="762">
        <f t="shared" ref="I41:I50" ca="1" si="6">IFERROR(1-(H41/G41),0)</f>
        <v>0.7656492541600457</v>
      </c>
      <c r="J41" s="776"/>
      <c r="K41" s="763">
        <f ca="1">+K22-K23-K27-K30</f>
        <v>-137.47519906399998</v>
      </c>
      <c r="L41" s="825"/>
      <c r="M41" s="763">
        <f ca="1">+M22-M23-M27-M30</f>
        <v>-37.812537659999997</v>
      </c>
      <c r="N41" s="477"/>
    </row>
    <row r="42" spans="2:14" s="436" customFormat="1" ht="13" hidden="1" customHeight="1" outlineLevel="1">
      <c r="B42" s="462"/>
      <c r="C42" s="1149" t="str">
        <f>+'P&amp;L Detail'!C44</f>
        <v>Erträge aus Beteiligungen</v>
      </c>
      <c r="D42" s="1177" t="str">
        <f>+'P&amp;L Detail'!D44</f>
        <v>Income from Investment</v>
      </c>
      <c r="G42" s="468">
        <f>'P&amp;L Detail'!AD44</f>
        <v>0</v>
      </c>
      <c r="H42" s="468">
        <f>'P&amp;L Detail'!AF44</f>
        <v>0</v>
      </c>
      <c r="I42" s="624">
        <f t="shared" si="6"/>
        <v>0</v>
      </c>
      <c r="J42" s="646"/>
      <c r="K42" s="634">
        <f>+'P&amp;L Detail'!AL44</f>
        <v>0</v>
      </c>
      <c r="L42" s="620"/>
      <c r="M42" s="634">
        <f>+'P&amp;L Detail'!AR44</f>
        <v>0</v>
      </c>
      <c r="N42" s="479"/>
    </row>
    <row r="43" spans="2:14" s="436" customFormat="1" ht="13" hidden="1" customHeight="1" outlineLevel="1">
      <c r="B43" s="462"/>
      <c r="C43" s="1149" t="str">
        <f>+'P&amp;L Detail'!C45</f>
        <v>…davon aus verbundenen Unternehmen</v>
      </c>
      <c r="D43" s="1178" t="str">
        <f>+'P&amp;L Detail'!D45</f>
        <v>…ow from affiliated Companies</v>
      </c>
      <c r="G43" s="469">
        <f>'P&amp;L Detail'!AD45</f>
        <v>0</v>
      </c>
      <c r="H43" s="469">
        <f>'P&amp;L Detail'!AF45</f>
        <v>0</v>
      </c>
      <c r="I43" s="624">
        <f t="shared" si="6"/>
        <v>0</v>
      </c>
      <c r="J43" s="647"/>
      <c r="K43" s="635">
        <f>+'P&amp;L Detail'!AL45</f>
        <v>0</v>
      </c>
      <c r="L43" s="778"/>
      <c r="M43" s="635">
        <f>+'P&amp;L Detail'!AR45</f>
        <v>0</v>
      </c>
      <c r="N43" s="479"/>
    </row>
    <row r="44" spans="2:14" ht="13" hidden="1" customHeight="1" outlineLevel="1">
      <c r="B44" s="446"/>
      <c r="C44" s="1149" t="str">
        <f>+'P&amp;L Detail'!C46</f>
        <v>Erträge aus Wertpapieren und Ausleihungen des Finanz-AV</v>
      </c>
      <c r="D44" s="1178" t="str">
        <f>+'P&amp;L Detail'!D46</f>
        <v>Income e from other lt Securities and Loans</v>
      </c>
      <c r="G44" s="470">
        <f>'P&amp;L Detail'!AD46</f>
        <v>0</v>
      </c>
      <c r="H44" s="470">
        <f>'P&amp;L Detail'!AF46</f>
        <v>0</v>
      </c>
      <c r="I44" s="624">
        <f t="shared" si="6"/>
        <v>0</v>
      </c>
      <c r="J44" s="646"/>
      <c r="K44" s="635">
        <f>+'P&amp;L Detail'!AL46</f>
        <v>0</v>
      </c>
      <c r="L44" s="620"/>
      <c r="M44" s="635">
        <f>+'P&amp;L Detail'!AR46</f>
        <v>0</v>
      </c>
      <c r="N44" s="477"/>
    </row>
    <row r="45" spans="2:14" ht="13" hidden="1" customHeight="1" outlineLevel="1">
      <c r="B45" s="446"/>
      <c r="C45" s="1149" t="str">
        <f>+'P&amp;L Detail'!C47</f>
        <v>…davon aus verbundenen Unternehmen</v>
      </c>
      <c r="D45" s="1178" t="str">
        <f>+'P&amp;L Detail'!D47</f>
        <v>…ow from affiliated Companies</v>
      </c>
      <c r="G45" s="469">
        <f>'P&amp;L Detail'!AD47</f>
        <v>0</v>
      </c>
      <c r="H45" s="469">
        <f>'P&amp;L Detail'!AF47</f>
        <v>0</v>
      </c>
      <c r="I45" s="624">
        <f t="shared" si="6"/>
        <v>0</v>
      </c>
      <c r="J45" s="647"/>
      <c r="K45" s="635">
        <f>+'P&amp;L Detail'!AL47</f>
        <v>0</v>
      </c>
      <c r="L45" s="778"/>
      <c r="M45" s="635">
        <f>+'P&amp;L Detail'!AR47</f>
        <v>0</v>
      </c>
      <c r="N45" s="477"/>
    </row>
    <row r="46" spans="2:14" ht="13" hidden="1" customHeight="1" outlineLevel="1">
      <c r="B46" s="446"/>
      <c r="C46" s="1149" t="str">
        <f>+'P&amp;L Detail'!C48</f>
        <v>Sonstige Zinsen und Erträge</v>
      </c>
      <c r="D46" s="1178" t="str">
        <f>+'P&amp;L Detail'!D48</f>
        <v>Othert Interest &amp; sinmilar Income</v>
      </c>
      <c r="G46" s="470">
        <f>'P&amp;L Detail'!AD48</f>
        <v>0</v>
      </c>
      <c r="H46" s="470">
        <f>'P&amp;L Detail'!AF48</f>
        <v>0</v>
      </c>
      <c r="I46" s="624">
        <f t="shared" si="6"/>
        <v>0</v>
      </c>
      <c r="J46" s="646"/>
      <c r="K46" s="635">
        <f>+'P&amp;L Detail'!AL48</f>
        <v>0</v>
      </c>
      <c r="L46" s="620"/>
      <c r="M46" s="635">
        <f>+'P&amp;L Detail'!AR48</f>
        <v>0</v>
      </c>
      <c r="N46" s="477"/>
    </row>
    <row r="47" spans="2:14" ht="13" hidden="1" customHeight="1" outlineLevel="1">
      <c r="B47" s="446"/>
      <c r="C47" s="1149" t="str">
        <f>+'P&amp;L Detail'!C49</f>
        <v>…davon aus verbundenen Unternehmen</v>
      </c>
      <c r="D47" s="1178" t="str">
        <f>+'P&amp;L Detail'!D49</f>
        <v>…ow from affiliated Companies</v>
      </c>
      <c r="G47" s="469">
        <f>'P&amp;L Detail'!AD49</f>
        <v>0</v>
      </c>
      <c r="H47" s="469">
        <f>'P&amp;L Detail'!AF49</f>
        <v>0</v>
      </c>
      <c r="I47" s="624">
        <f t="shared" si="6"/>
        <v>0</v>
      </c>
      <c r="J47" s="647"/>
      <c r="K47" s="635">
        <f>+'P&amp;L Detail'!AL49</f>
        <v>0</v>
      </c>
      <c r="L47" s="778"/>
      <c r="M47" s="635">
        <f>+'P&amp;L Detail'!AR49</f>
        <v>0</v>
      </c>
      <c r="N47" s="477"/>
    </row>
    <row r="48" spans="2:14" ht="13" hidden="1" customHeight="1" outlineLevel="1">
      <c r="B48" s="446"/>
      <c r="C48" s="1149" t="str">
        <f>+'P&amp;L Detail'!C50</f>
        <v>Abschreibungen auf Finanzanlagen/Wertpapiere des UV</v>
      </c>
      <c r="D48" s="1178" t="str">
        <f>+'P&amp;L Detail'!D50</f>
        <v>Write-offs of fin. Assets &amp; mark. Securities</v>
      </c>
      <c r="G48" s="470">
        <f>'P&amp;L Detail'!AD50</f>
        <v>0</v>
      </c>
      <c r="H48" s="470">
        <f>'P&amp;L Detail'!AF50</f>
        <v>0</v>
      </c>
      <c r="I48" s="624">
        <f t="shared" si="6"/>
        <v>0</v>
      </c>
      <c r="J48" s="646"/>
      <c r="K48" s="635">
        <f>+'P&amp;L Detail'!AL50</f>
        <v>0</v>
      </c>
      <c r="L48" s="620"/>
      <c r="M48" s="635">
        <f>+'P&amp;L Detail'!AR50</f>
        <v>0</v>
      </c>
      <c r="N48" s="477"/>
    </row>
    <row r="49" spans="2:14" ht="13" hidden="1" customHeight="1" outlineLevel="1">
      <c r="B49" s="446"/>
      <c r="C49" s="1149" t="str">
        <f>+'P&amp;L Detail'!C51</f>
        <v>Zinsen und ähnliche Aufwendungen</v>
      </c>
      <c r="D49" s="1178" t="str">
        <f>+'P&amp;L Detail'!D51</f>
        <v>Interest and Similar Expenses</v>
      </c>
      <c r="G49" s="470">
        <f>'P&amp;L Detail'!AD51</f>
        <v>0.94000000000000006</v>
      </c>
      <c r="H49" s="470">
        <f>'P&amp;L Detail'!AF51</f>
        <v>0.94000000000000006</v>
      </c>
      <c r="I49" s="624">
        <f t="shared" si="6"/>
        <v>0</v>
      </c>
      <c r="J49" s="646"/>
      <c r="K49" s="635">
        <f>+'P&amp;L Detail'!AL51</f>
        <v>0.82</v>
      </c>
      <c r="L49" s="620"/>
      <c r="M49" s="635">
        <f>+'P&amp;L Detail'!AR51</f>
        <v>0.7</v>
      </c>
      <c r="N49" s="477"/>
    </row>
    <row r="50" spans="2:14" ht="13" hidden="1" customHeight="1" outlineLevel="1">
      <c r="B50" s="446"/>
      <c r="C50" s="1149" t="str">
        <f>+'P&amp;L Detail'!C52</f>
        <v>…davon an verbundene Unternehmen</v>
      </c>
      <c r="D50" s="1178" t="str">
        <f>+'P&amp;L Detail'!D52</f>
        <v>…ow from affiliated Companies</v>
      </c>
      <c r="G50" s="469">
        <f>'P&amp;L Detail'!AD52</f>
        <v>0</v>
      </c>
      <c r="H50" s="469">
        <f>'P&amp;L Detail'!AF52</f>
        <v>0</v>
      </c>
      <c r="I50" s="624">
        <f t="shared" si="6"/>
        <v>0</v>
      </c>
      <c r="J50" s="647"/>
      <c r="K50" s="635">
        <f>+'P&amp;L Detail'!AL52</f>
        <v>0</v>
      </c>
      <c r="L50" s="778"/>
      <c r="M50" s="635">
        <f>+'P&amp;L Detail'!AR52</f>
        <v>0</v>
      </c>
      <c r="N50" s="477"/>
    </row>
    <row r="51" spans="2:14" ht="13" hidden="1" customHeight="1" outlineLevel="1">
      <c r="B51" s="446"/>
      <c r="C51" s="1149"/>
      <c r="D51" s="1179"/>
      <c r="G51" s="470"/>
      <c r="H51" s="470"/>
      <c r="I51" s="624"/>
      <c r="J51" s="646"/>
      <c r="K51" s="636"/>
      <c r="L51" s="620"/>
      <c r="M51" s="636"/>
      <c r="N51" s="477"/>
    </row>
    <row r="52" spans="2:14" ht="13" customHeight="1" collapsed="1">
      <c r="B52" s="446"/>
      <c r="C52" s="464"/>
      <c r="D52" s="1186"/>
      <c r="G52" s="471"/>
      <c r="H52" s="471"/>
      <c r="I52" s="624"/>
      <c r="J52" s="646"/>
      <c r="K52" s="826"/>
      <c r="L52" s="827"/>
      <c r="M52" s="637"/>
      <c r="N52" s="477"/>
    </row>
    <row r="53" spans="2:14" ht="13" customHeight="1">
      <c r="B53" s="446"/>
      <c r="C53" s="791" t="s">
        <v>131</v>
      </c>
      <c r="D53" s="1161" t="s">
        <v>70</v>
      </c>
      <c r="F53" s="765"/>
      <c r="G53" s="761">
        <f>'P&amp;L Detail'!AD54</f>
        <v>-0.94000000000000006</v>
      </c>
      <c r="H53" s="761">
        <f>'P&amp;L Detail'!AF54</f>
        <v>-0.94000000000000006</v>
      </c>
      <c r="I53" s="762"/>
      <c r="J53" s="776"/>
      <c r="K53" s="763">
        <f>SUM(K42:K52)</f>
        <v>0.82</v>
      </c>
      <c r="L53" s="825"/>
      <c r="M53" s="763">
        <f>SUM(M42:M52)</f>
        <v>0.7</v>
      </c>
      <c r="N53" s="477"/>
    </row>
    <row r="54" spans="2:14" ht="13" customHeight="1">
      <c r="B54" s="446"/>
      <c r="C54" s="1150"/>
      <c r="D54" s="1166"/>
      <c r="G54" s="472"/>
      <c r="H54" s="472"/>
      <c r="I54" s="627"/>
      <c r="J54" s="641"/>
      <c r="K54" s="638"/>
      <c r="L54" s="828"/>
      <c r="M54" s="638"/>
      <c r="N54" s="477"/>
    </row>
    <row r="55" spans="2:14" ht="23.25" customHeight="1">
      <c r="B55" s="446"/>
      <c r="C55" s="791" t="s">
        <v>236</v>
      </c>
      <c r="D55" s="1161" t="s">
        <v>242</v>
      </c>
      <c r="F55" s="765"/>
      <c r="G55" s="761">
        <f ca="1">'P&amp;L Detail'!AD56</f>
        <v>-216.12245953200002</v>
      </c>
      <c r="H55" s="761">
        <f ca="1">'P&amp;L Detail'!AF56</f>
        <v>-169.32245953200001</v>
      </c>
      <c r="I55" s="762">
        <f ca="1">IFERROR(1-(H55/G55),0)</f>
        <v>0.2165438987754561</v>
      </c>
      <c r="J55" s="776"/>
      <c r="K55" s="763">
        <f ca="1">+K41-K53</f>
        <v>-138.29519906399997</v>
      </c>
      <c r="L55" s="825"/>
      <c r="M55" s="763">
        <f ca="1">+M41-M53</f>
        <v>-38.51253766</v>
      </c>
      <c r="N55" s="477"/>
    </row>
    <row r="56" spans="2:14" ht="13" customHeight="1">
      <c r="B56" s="446"/>
      <c r="C56" s="1151" t="str">
        <f>+'P&amp;L Detail'!C57</f>
        <v>Außerordentliche Erträge</v>
      </c>
      <c r="D56" s="1175" t="str">
        <f>+'P&amp;L Detail'!D57</f>
        <v xml:space="preserve">     Extraordinary Revenues</v>
      </c>
      <c r="F56" s="452"/>
      <c r="G56" s="465">
        <f>'P&amp;L Detail'!AD57</f>
        <v>0</v>
      </c>
      <c r="H56" s="465">
        <f>'P&amp;L Detail'!AF57</f>
        <v>0</v>
      </c>
      <c r="I56" s="824">
        <f t="shared" ref="I56:I57" si="7">IFERROR(1-(G56/H56),0)</f>
        <v>0</v>
      </c>
      <c r="J56" s="641"/>
      <c r="K56" s="639">
        <f>+'P&amp;L Detail'!AL57</f>
        <v>0</v>
      </c>
      <c r="L56" s="833"/>
      <c r="M56" s="639">
        <f>+'P&amp;L Detail'!AR57</f>
        <v>0</v>
      </c>
      <c r="N56" s="477"/>
    </row>
    <row r="57" spans="2:14" ht="13" customHeight="1">
      <c r="B57" s="446"/>
      <c r="C57" s="1151" t="str">
        <f>+'P&amp;L Detail'!C58</f>
        <v>Außerordentliche Aufwendungen</v>
      </c>
      <c r="D57" s="1176" t="str">
        <f>+'P&amp;L Detail'!D58</f>
        <v xml:space="preserve">     Extraordinary Expenses</v>
      </c>
      <c r="F57" s="452"/>
      <c r="G57" s="398">
        <f>'P&amp;L Detail'!AD58</f>
        <v>0</v>
      </c>
      <c r="H57" s="398">
        <f>'P&amp;L Detail'!AF58</f>
        <v>0</v>
      </c>
      <c r="I57" s="824">
        <f t="shared" si="7"/>
        <v>0</v>
      </c>
      <c r="J57" s="641"/>
      <c r="K57" s="829">
        <f>+'P&amp;L Detail'!AL58</f>
        <v>0</v>
      </c>
      <c r="L57" s="828"/>
      <c r="M57" s="632">
        <f>+'P&amp;L Detail'!AR58</f>
        <v>0</v>
      </c>
      <c r="N57" s="477"/>
    </row>
    <row r="58" spans="2:14" ht="13" customHeight="1">
      <c r="B58" s="446"/>
      <c r="C58" s="1152" t="s">
        <v>135</v>
      </c>
      <c r="D58" s="1167" t="s">
        <v>73</v>
      </c>
      <c r="F58" s="766"/>
      <c r="G58" s="767">
        <f>'P&amp;L Detail'!AD59</f>
        <v>0</v>
      </c>
      <c r="H58" s="767">
        <f>'P&amp;L Detail'!AF59</f>
        <v>0</v>
      </c>
      <c r="I58" s="762"/>
      <c r="J58" s="776"/>
      <c r="K58" s="830">
        <f>SUM(K56:K57)</f>
        <v>0</v>
      </c>
      <c r="L58" s="825"/>
      <c r="M58" s="768">
        <f>SUM(M56:M57)</f>
        <v>0</v>
      </c>
      <c r="N58" s="477"/>
    </row>
    <row r="59" spans="2:14" ht="13" customHeight="1">
      <c r="B59" s="446"/>
      <c r="C59" s="476"/>
      <c r="D59" s="1165"/>
      <c r="F59" s="452"/>
      <c r="G59" s="398"/>
      <c r="H59" s="398"/>
      <c r="I59" s="626"/>
      <c r="J59" s="641"/>
      <c r="K59" s="829"/>
      <c r="L59" s="828"/>
      <c r="M59" s="632"/>
      <c r="N59" s="477"/>
    </row>
    <row r="60" spans="2:14" ht="13" customHeight="1">
      <c r="B60" s="446"/>
      <c r="C60" s="1152" t="s">
        <v>74</v>
      </c>
      <c r="D60" s="1167" t="s">
        <v>74</v>
      </c>
      <c r="F60" s="766"/>
      <c r="G60" s="767">
        <f ca="1">'P&amp;L Detail'!AD61</f>
        <v>-216.12245953200002</v>
      </c>
      <c r="H60" s="767">
        <f ca="1">'P&amp;L Detail'!AF61</f>
        <v>-169.32245953200001</v>
      </c>
      <c r="I60" s="762">
        <f t="shared" ref="I60" ca="1" si="8">IFERROR(1-(G60/H60),0)</f>
        <v>-0.27639570160599591</v>
      </c>
      <c r="J60" s="776"/>
      <c r="K60" s="830">
        <f ca="1">+K55+K58</f>
        <v>-138.29519906399997</v>
      </c>
      <c r="L60" s="825"/>
      <c r="M60" s="768">
        <f ca="1">+M55+M58</f>
        <v>-38.51253766</v>
      </c>
      <c r="N60" s="477"/>
    </row>
    <row r="61" spans="2:14" ht="13" hidden="1" customHeight="1" outlineLevel="1">
      <c r="B61" s="446"/>
      <c r="C61" s="460" t="str">
        <f>+'P&amp;L Detail'!C62</f>
        <v>Gewerbesteuer</v>
      </c>
      <c r="D61" s="1162" t="str">
        <f>+'P&amp;L Detail'!D62</f>
        <v>Business tax</v>
      </c>
      <c r="F61" s="452"/>
      <c r="G61" s="398">
        <f ca="1">'P&amp;L Detail'!AD62</f>
        <v>0</v>
      </c>
      <c r="H61" s="398">
        <f ca="1">'P&amp;L Detail'!AF62</f>
        <v>0</v>
      </c>
      <c r="I61" s="626"/>
      <c r="J61" s="641"/>
      <c r="K61" s="829">
        <f ca="1">+'P&amp;L Detail'!AL62</f>
        <v>0</v>
      </c>
      <c r="L61" s="828"/>
      <c r="M61" s="632">
        <f ca="1">+'P&amp;L Detail'!AR62</f>
        <v>0</v>
      </c>
      <c r="N61" s="477"/>
    </row>
    <row r="62" spans="2:14" ht="13" hidden="1" customHeight="1" outlineLevel="1">
      <c r="B62" s="446"/>
      <c r="C62" s="460" t="str">
        <f>+'P&amp;L Detail'!C63</f>
        <v>Körperschaftssteuer</v>
      </c>
      <c r="D62" s="1162" t="str">
        <f>+'P&amp;L Detail'!D63</f>
        <v>Corporate tax</v>
      </c>
      <c r="F62" s="452"/>
      <c r="G62" s="398">
        <f ca="1">'P&amp;L Detail'!AD63</f>
        <v>0</v>
      </c>
      <c r="H62" s="398">
        <f ca="1">'P&amp;L Detail'!AF63</f>
        <v>0</v>
      </c>
      <c r="I62" s="626"/>
      <c r="J62" s="641"/>
      <c r="K62" s="829">
        <f ca="1">+'P&amp;L Detail'!AL63</f>
        <v>0</v>
      </c>
      <c r="L62" s="828"/>
      <c r="M62" s="632">
        <f ca="1">+'P&amp;L Detail'!AR63</f>
        <v>0</v>
      </c>
      <c r="N62" s="477"/>
    </row>
    <row r="63" spans="2:14" ht="13" hidden="1" customHeight="1" outlineLevel="1">
      <c r="B63" s="446"/>
      <c r="C63" s="460" t="str">
        <f>+'P&amp;L Detail'!C64</f>
        <v>Solidaritätszuschlag</v>
      </c>
      <c r="D63" s="1162" t="str">
        <f>+'P&amp;L Detail'!D64</f>
        <v>Other taxes</v>
      </c>
      <c r="F63" s="452"/>
      <c r="G63" s="398">
        <f ca="1">'P&amp;L Detail'!AD64</f>
        <v>0</v>
      </c>
      <c r="H63" s="398">
        <f ca="1">'P&amp;L Detail'!AF64</f>
        <v>0</v>
      </c>
      <c r="I63" s="628"/>
      <c r="J63" s="644"/>
      <c r="K63" s="829">
        <f ca="1">+'P&amp;L Detail'!AL64</f>
        <v>0</v>
      </c>
      <c r="L63" s="834"/>
      <c r="M63" s="632">
        <f ca="1">+'P&amp;L Detail'!AR64</f>
        <v>0</v>
      </c>
      <c r="N63" s="477"/>
    </row>
    <row r="64" spans="2:14" ht="13" hidden="1" customHeight="1" outlineLevel="1">
      <c r="B64" s="446"/>
      <c r="C64" s="1153" t="s">
        <v>238</v>
      </c>
      <c r="D64" s="1168" t="s">
        <v>239</v>
      </c>
      <c r="F64" s="766"/>
      <c r="G64" s="769">
        <f ca="1">'P&amp;L Detail'!AD65</f>
        <v>-216.12245953200002</v>
      </c>
      <c r="H64" s="769">
        <f ca="1">'P&amp;L Detail'!AF65</f>
        <v>-169.32245953200001</v>
      </c>
      <c r="I64" s="762">
        <f ca="1">IFERROR(1-(H64/G64),0)</f>
        <v>0.2165438987754561</v>
      </c>
      <c r="J64" s="776"/>
      <c r="K64" s="831">
        <f ca="1">+K60-SUM(K61:K63)</f>
        <v>-138.29519906399997</v>
      </c>
      <c r="L64" s="825"/>
      <c r="M64" s="770">
        <f ca="1">+M60-SUM(M61:M63)</f>
        <v>-38.51253766</v>
      </c>
      <c r="N64" s="477"/>
    </row>
    <row r="65" spans="2:14" ht="8" customHeight="1" collapsed="1">
      <c r="B65" s="446"/>
      <c r="C65" s="621"/>
      <c r="D65" s="1169"/>
      <c r="E65" s="622"/>
      <c r="F65" s="622"/>
      <c r="G65" s="623"/>
      <c r="H65" s="623"/>
      <c r="I65" s="623"/>
      <c r="J65" s="642"/>
      <c r="K65" s="623"/>
      <c r="L65" s="835"/>
      <c r="M65" s="623"/>
      <c r="N65" s="477"/>
    </row>
    <row r="66" spans="2:14" ht="13" customHeight="1">
      <c r="B66" s="533"/>
      <c r="C66" s="1154" t="s">
        <v>281</v>
      </c>
      <c r="D66" s="1170"/>
      <c r="E66" s="1155"/>
      <c r="F66" s="771"/>
      <c r="G66" s="772">
        <f ca="1">+G64+G27</f>
        <v>-216.12245953200002</v>
      </c>
      <c r="H66" s="772">
        <f ca="1">+H64+H27</f>
        <v>-169.32245953200001</v>
      </c>
      <c r="I66" s="773"/>
      <c r="J66" s="825"/>
      <c r="K66" s="832">
        <f ca="1">+K64+K27</f>
        <v>-138.29519906399997</v>
      </c>
      <c r="L66" s="825"/>
      <c r="M66" s="774">
        <f ca="1">+M64+M27</f>
        <v>-38.51253766</v>
      </c>
      <c r="N66" s="480"/>
    </row>
    <row r="70" spans="2:14" ht="15" customHeight="1">
      <c r="G70" s="1299" t="s">
        <v>484</v>
      </c>
    </row>
    <row r="71" spans="2:14" ht="26" customHeight="1">
      <c r="G71" s="1300" t="s">
        <v>549</v>
      </c>
    </row>
  </sheetData>
  <mergeCells count="2">
    <mergeCell ref="B2:M2"/>
    <mergeCell ref="G5:I5"/>
  </mergeCells>
  <phoneticPr fontId="5" type="noConversion"/>
  <printOptions horizontalCentered="1"/>
  <pageMargins left="0.2" right="0.2" top="0.2" bottom="0.35000000000000003" header="0.2" footer="0.2"/>
  <pageSetup paperSize="9" orientation="portrait" horizontalDpi="4294967292" verticalDpi="4294967292" r:id="rId1"/>
  <headerFooter>
    <oddFooter>&amp;L&amp;"Arial,Standard"Business Case&amp;C&amp;"Arial,Standard"&amp;F&amp;R&amp;"Arial,Standard"&amp;D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AZ55"/>
  <sheetViews>
    <sheetView showGridLines="0" topLeftCell="A25" zoomScale="150" zoomScaleNormal="150" zoomScaleSheetLayoutView="100" zoomScalePageLayoutView="150" workbookViewId="0">
      <selection activeCell="T20" sqref="T20"/>
    </sheetView>
  </sheetViews>
  <sheetFormatPr baseColWidth="10" defaultColWidth="11.796875" defaultRowHeight="14"/>
  <cols>
    <col min="1" max="2" width="2.19921875" style="5" customWidth="1"/>
    <col min="3" max="3" width="37" style="7" customWidth="1"/>
    <col min="4" max="4" width="1.19921875" style="7" customWidth="1"/>
    <col min="5" max="5" width="1.19921875" style="5" customWidth="1"/>
    <col min="6" max="6" width="4.796875" style="5" customWidth="1"/>
    <col min="7" max="7" width="5.796875" style="5" customWidth="1"/>
    <col min="8" max="10" width="4.796875" style="5" customWidth="1"/>
    <col min="11" max="11" width="5.796875" style="5" customWidth="1"/>
    <col min="12" max="17" width="4.796875" style="5" customWidth="1"/>
    <col min="18" max="18" width="6.19921875" style="5" customWidth="1"/>
    <col min="19" max="19" width="1.19921875" style="5" customWidth="1"/>
    <col min="20" max="23" width="5.796875" style="5" customWidth="1"/>
    <col min="24" max="24" width="6.796875" style="5" customWidth="1"/>
    <col min="25" max="25" width="1.19921875" style="10" customWidth="1"/>
    <col min="26" max="28" width="5.19921875" style="5" customWidth="1"/>
    <col min="29" max="29" width="7.796875" style="5" customWidth="1"/>
    <col min="30" max="30" width="6.796875" style="5" customWidth="1"/>
    <col min="31" max="31" width="3.796875" style="5" customWidth="1"/>
    <col min="32" max="16384" width="11.796875" style="5"/>
  </cols>
  <sheetData>
    <row r="2" spans="2:33" ht="18.75" customHeight="1">
      <c r="B2" s="1225" t="s">
        <v>47</v>
      </c>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7"/>
    </row>
    <row r="3" spans="2:33">
      <c r="B3" s="6"/>
      <c r="C3" s="132" t="str">
        <f>+Parameter!D4&amp;", "&amp;Parameter!D15</f>
        <v>company name, Location</v>
      </c>
      <c r="H3" s="8"/>
      <c r="I3" s="9"/>
      <c r="J3" s="4" t="s">
        <v>28</v>
      </c>
      <c r="K3" s="1223">
        <f>Parameter!D23</f>
        <v>1000</v>
      </c>
      <c r="L3" s="1224"/>
      <c r="M3" s="3"/>
      <c r="N3" s="3"/>
      <c r="O3" s="3"/>
      <c r="P3" s="3"/>
      <c r="Q3" s="3"/>
      <c r="R3" s="3"/>
      <c r="AE3" s="11"/>
    </row>
    <row r="4" spans="2:33" ht="14" customHeight="1">
      <c r="B4" s="6"/>
      <c r="C4" s="12"/>
      <c r="D4" s="13"/>
      <c r="AE4" s="11"/>
    </row>
    <row r="5" spans="2:33" s="138" customFormat="1" ht="15" thickBot="1">
      <c r="B5" s="133"/>
      <c r="C5" s="134"/>
      <c r="D5" s="135"/>
      <c r="E5" s="135"/>
      <c r="F5" s="1229" t="str">
        <f>Parameter!$D$8&amp;" "&amp;Parameter!D6</f>
        <v>Year 2023</v>
      </c>
      <c r="G5" s="1230"/>
      <c r="H5" s="1230"/>
      <c r="I5" s="1230"/>
      <c r="J5" s="1230"/>
      <c r="K5" s="1230"/>
      <c r="L5" s="1230"/>
      <c r="M5" s="1230"/>
      <c r="N5" s="1230"/>
      <c r="O5" s="1230"/>
      <c r="P5" s="1230"/>
      <c r="Q5" s="1231"/>
      <c r="R5" s="136"/>
      <c r="S5" s="135"/>
      <c r="T5" s="1229" t="str">
        <f>Parameter!$D$8&amp;" "&amp;Parameter!E6</f>
        <v>Year 2024</v>
      </c>
      <c r="U5" s="1230"/>
      <c r="V5" s="1230"/>
      <c r="W5" s="1231"/>
      <c r="X5" s="136"/>
      <c r="Y5" s="135"/>
      <c r="Z5" s="1220" t="str">
        <f>Parameter!$D$8&amp;" "&amp;Parameter!F6</f>
        <v>Year 2025</v>
      </c>
      <c r="AA5" s="1221"/>
      <c r="AB5" s="1221"/>
      <c r="AC5" s="1222"/>
      <c r="AD5" s="136"/>
      <c r="AE5" s="137"/>
    </row>
    <row r="6" spans="2:33" s="138" customFormat="1" ht="31" thickBot="1">
      <c r="B6" s="133"/>
      <c r="C6" s="139"/>
      <c r="D6" s="135"/>
      <c r="E6" s="135"/>
      <c r="F6" s="1" t="s">
        <v>4</v>
      </c>
      <c r="G6" s="1" t="s">
        <v>5</v>
      </c>
      <c r="H6" s="1" t="s">
        <v>48</v>
      </c>
      <c r="I6" s="1" t="s">
        <v>7</v>
      </c>
      <c r="J6" s="1" t="s">
        <v>49</v>
      </c>
      <c r="K6" s="1" t="s">
        <v>9</v>
      </c>
      <c r="L6" s="1" t="s">
        <v>10</v>
      </c>
      <c r="M6" s="1" t="s">
        <v>11</v>
      </c>
      <c r="N6" s="1" t="s">
        <v>12</v>
      </c>
      <c r="O6" s="1" t="s">
        <v>50</v>
      </c>
      <c r="P6" s="1" t="s">
        <v>2</v>
      </c>
      <c r="Q6" s="14" t="s">
        <v>51</v>
      </c>
      <c r="R6" s="15" t="s">
        <v>75</v>
      </c>
      <c r="S6" s="135"/>
      <c r="T6" s="16" t="s">
        <v>14</v>
      </c>
      <c r="U6" s="17" t="s">
        <v>15</v>
      </c>
      <c r="V6" s="18" t="s">
        <v>16</v>
      </c>
      <c r="W6" s="14" t="s">
        <v>17</v>
      </c>
      <c r="X6" s="15" t="s">
        <v>75</v>
      </c>
      <c r="Y6" s="135"/>
      <c r="Z6" s="16" t="s">
        <v>14</v>
      </c>
      <c r="AA6" s="17" t="s">
        <v>15</v>
      </c>
      <c r="AB6" s="18" t="s">
        <v>16</v>
      </c>
      <c r="AC6" s="14" t="s">
        <v>17</v>
      </c>
      <c r="AD6" s="15" t="s">
        <v>75</v>
      </c>
      <c r="AE6" s="137"/>
    </row>
    <row r="7" spans="2:33" ht="14" customHeight="1">
      <c r="B7" s="6"/>
      <c r="C7" s="19" t="s">
        <v>46</v>
      </c>
      <c r="D7" s="20"/>
      <c r="E7" s="20"/>
      <c r="F7" s="21" t="e">
        <f>+#REF!</f>
        <v>#REF!</v>
      </c>
      <c r="G7" s="21" t="e">
        <f>+#REF!</f>
        <v>#REF!</v>
      </c>
      <c r="H7" s="21" t="e">
        <f>+#REF!</f>
        <v>#REF!</v>
      </c>
      <c r="I7" s="21" t="e">
        <f>+#REF!</f>
        <v>#REF!</v>
      </c>
      <c r="J7" s="21" t="e">
        <f>+#REF!</f>
        <v>#REF!</v>
      </c>
      <c r="K7" s="21" t="e">
        <f>+#REF!</f>
        <v>#REF!</v>
      </c>
      <c r="L7" s="21" t="e">
        <f>+#REF!</f>
        <v>#REF!</v>
      </c>
      <c r="M7" s="21" t="e">
        <f>+#REF!</f>
        <v>#REF!</v>
      </c>
      <c r="N7" s="21" t="e">
        <f>+#REF!</f>
        <v>#REF!</v>
      </c>
      <c r="O7" s="21" t="e">
        <f>+#REF!</f>
        <v>#REF!</v>
      </c>
      <c r="P7" s="21" t="e">
        <f>+#REF!</f>
        <v>#REF!</v>
      </c>
      <c r="Q7" s="22" t="e">
        <f>+#REF!</f>
        <v>#REF!</v>
      </c>
      <c r="R7" s="23" t="e">
        <f>SUM(F7:Q7)</f>
        <v>#REF!</v>
      </c>
      <c r="S7" s="24"/>
      <c r="T7" s="21" t="e">
        <f>+#REF!</f>
        <v>#REF!</v>
      </c>
      <c r="U7" s="21" t="e">
        <f>+#REF!</f>
        <v>#REF!</v>
      </c>
      <c r="V7" s="21" t="e">
        <f>+#REF!</f>
        <v>#REF!</v>
      </c>
      <c r="W7" s="21" t="e">
        <f>+#REF!</f>
        <v>#REF!</v>
      </c>
      <c r="X7" s="23" t="e">
        <f>SUM(T7:W7)</f>
        <v>#REF!</v>
      </c>
      <c r="Y7" s="24"/>
      <c r="Z7" s="21" t="e">
        <f>+#REF!</f>
        <v>#REF!</v>
      </c>
      <c r="AA7" s="21" t="e">
        <f>+#REF!</f>
        <v>#REF!</v>
      </c>
      <c r="AB7" s="21" t="e">
        <f>+#REF!</f>
        <v>#REF!</v>
      </c>
      <c r="AC7" s="22" t="e">
        <f>+#REF!</f>
        <v>#REF!</v>
      </c>
      <c r="AD7" s="23" t="e">
        <f>SUM(Z7:AC7)</f>
        <v>#REF!</v>
      </c>
      <c r="AE7" s="25"/>
    </row>
    <row r="8" spans="2:33" ht="12" customHeight="1">
      <c r="B8" s="6"/>
      <c r="C8" s="26"/>
      <c r="D8" s="27"/>
      <c r="E8" s="27"/>
      <c r="F8" s="28"/>
      <c r="G8" s="28"/>
      <c r="H8" s="28"/>
      <c r="I8" s="28"/>
      <c r="J8" s="28"/>
      <c r="K8" s="28"/>
      <c r="L8" s="28"/>
      <c r="M8" s="28"/>
      <c r="N8" s="28"/>
      <c r="O8" s="28"/>
      <c r="P8" s="28"/>
      <c r="Q8" s="29"/>
      <c r="R8" s="30">
        <f t="shared" ref="R8:R14" si="0">SUM(F8:Q8)</f>
        <v>0</v>
      </c>
      <c r="S8" s="31"/>
      <c r="T8" s="28"/>
      <c r="U8" s="28"/>
      <c r="V8" s="28"/>
      <c r="W8" s="29"/>
      <c r="X8" s="30">
        <f t="shared" ref="X8:X14" si="1">SUM(T8:W8)</f>
        <v>0</v>
      </c>
      <c r="Y8" s="31"/>
      <c r="Z8" s="28"/>
      <c r="AA8" s="28"/>
      <c r="AB8" s="28"/>
      <c r="AC8" s="29"/>
      <c r="AD8" s="30">
        <f t="shared" ref="AD8:AD14" si="2">SUM(Z8:AC8)</f>
        <v>0</v>
      </c>
      <c r="AE8" s="11"/>
    </row>
    <row r="9" spans="2:33" ht="15">
      <c r="B9" s="6"/>
      <c r="C9" s="26" t="s">
        <v>52</v>
      </c>
      <c r="D9" s="20"/>
      <c r="E9" s="20"/>
      <c r="F9" s="32" t="e">
        <f>Parameter!$D$22*'P+L'!F7*-1</f>
        <v>#REF!</v>
      </c>
      <c r="G9" s="32" t="e">
        <f>Parameter!$D$22*'P+L'!G7*-1</f>
        <v>#REF!</v>
      </c>
      <c r="H9" s="32" t="e">
        <f>Parameter!$D$22*'P+L'!H7*-1</f>
        <v>#REF!</v>
      </c>
      <c r="I9" s="32" t="e">
        <f>Parameter!$D$22*'P+L'!I7*-1</f>
        <v>#REF!</v>
      </c>
      <c r="J9" s="32" t="e">
        <f>Parameter!$D$22*'P+L'!J7*-1</f>
        <v>#REF!</v>
      </c>
      <c r="K9" s="32" t="e">
        <f>Parameter!$D$22*'P+L'!K7*-1</f>
        <v>#REF!</v>
      </c>
      <c r="L9" s="32" t="e">
        <f>Parameter!$D$22*'P+L'!L7*-1</f>
        <v>#REF!</v>
      </c>
      <c r="M9" s="32" t="e">
        <f>Parameter!$D$22*'P+L'!M7*-1</f>
        <v>#REF!</v>
      </c>
      <c r="N9" s="32" t="e">
        <f>Parameter!$D$22*'P+L'!N7*-1</f>
        <v>#REF!</v>
      </c>
      <c r="O9" s="32" t="e">
        <f>Parameter!$D$22*'P+L'!O7*-1</f>
        <v>#REF!</v>
      </c>
      <c r="P9" s="32" t="e">
        <f>Parameter!$D$22*'P+L'!P7*-1</f>
        <v>#REF!</v>
      </c>
      <c r="Q9" s="33" t="e">
        <f>Parameter!$D$22*'P+L'!Q7*-1</f>
        <v>#REF!</v>
      </c>
      <c r="R9" s="34" t="e">
        <f t="shared" si="0"/>
        <v>#REF!</v>
      </c>
      <c r="S9" s="35"/>
      <c r="T9" s="32" t="e">
        <f>Parameter!$D$22*'P+L'!T7*-1</f>
        <v>#REF!</v>
      </c>
      <c r="U9" s="32" t="e">
        <f>Parameter!$D$22*'P+L'!U7*-1</f>
        <v>#REF!</v>
      </c>
      <c r="V9" s="32" t="e">
        <f>Parameter!$D$22*'P+L'!V7*-1</f>
        <v>#REF!</v>
      </c>
      <c r="W9" s="33" t="e">
        <f>Parameter!$D$22*'P+L'!W7*-1</f>
        <v>#REF!</v>
      </c>
      <c r="X9" s="34" t="e">
        <f t="shared" si="1"/>
        <v>#REF!</v>
      </c>
      <c r="Y9" s="35"/>
      <c r="Z9" s="32" t="e">
        <f>Parameter!$D$22*'P+L'!Z7*-1</f>
        <v>#REF!</v>
      </c>
      <c r="AA9" s="32" t="e">
        <f>Parameter!$D$22*'P+L'!AA7*-1</f>
        <v>#REF!</v>
      </c>
      <c r="AB9" s="32" t="e">
        <f>Parameter!$D$22*'P+L'!AB7*-1</f>
        <v>#REF!</v>
      </c>
      <c r="AC9" s="33" t="e">
        <f>Parameter!$D$22*'P+L'!AC7*-1</f>
        <v>#REF!</v>
      </c>
      <c r="AD9" s="34" t="e">
        <f t="shared" si="2"/>
        <v>#REF!</v>
      </c>
      <c r="AE9" s="36"/>
    </row>
    <row r="10" spans="2:33" ht="11" customHeight="1">
      <c r="B10" s="6"/>
      <c r="C10" s="37"/>
      <c r="D10" s="27"/>
      <c r="E10" s="27"/>
      <c r="F10" s="38"/>
      <c r="G10" s="38"/>
      <c r="H10" s="38"/>
      <c r="I10" s="38"/>
      <c r="J10" s="38"/>
      <c r="K10" s="38"/>
      <c r="L10" s="38"/>
      <c r="M10" s="38"/>
      <c r="N10" s="38"/>
      <c r="O10" s="38"/>
      <c r="P10" s="38"/>
      <c r="Q10" s="39"/>
      <c r="R10" s="40"/>
      <c r="S10" s="41"/>
      <c r="T10" s="38"/>
      <c r="U10" s="38"/>
      <c r="V10" s="38"/>
      <c r="W10" s="39"/>
      <c r="X10" s="40">
        <f t="shared" si="1"/>
        <v>0</v>
      </c>
      <c r="Y10" s="41"/>
      <c r="Z10" s="38"/>
      <c r="AA10" s="38"/>
      <c r="AB10" s="38"/>
      <c r="AC10" s="39"/>
      <c r="AD10" s="40">
        <f t="shared" si="2"/>
        <v>0</v>
      </c>
      <c r="AE10" s="42"/>
    </row>
    <row r="11" spans="2:33" ht="15">
      <c r="B11" s="6"/>
      <c r="C11" s="43" t="s">
        <v>53</v>
      </c>
      <c r="D11" s="20"/>
      <c r="E11" s="20"/>
      <c r="F11" s="44">
        <f>SUM(F12:F14)</f>
        <v>0</v>
      </c>
      <c r="G11" s="44">
        <f t="shared" ref="G11:Q11" si="3">SUM(G12:G14)</f>
        <v>0</v>
      </c>
      <c r="H11" s="44">
        <f t="shared" si="3"/>
        <v>0</v>
      </c>
      <c r="I11" s="44">
        <f t="shared" si="3"/>
        <v>0</v>
      </c>
      <c r="J11" s="44">
        <f t="shared" si="3"/>
        <v>0</v>
      </c>
      <c r="K11" s="44">
        <f t="shared" si="3"/>
        <v>0</v>
      </c>
      <c r="L11" s="44">
        <f t="shared" si="3"/>
        <v>0</v>
      </c>
      <c r="M11" s="44">
        <f t="shared" si="3"/>
        <v>0</v>
      </c>
      <c r="N11" s="44">
        <f t="shared" si="3"/>
        <v>0</v>
      </c>
      <c r="O11" s="44">
        <f t="shared" si="3"/>
        <v>0</v>
      </c>
      <c r="P11" s="44">
        <f t="shared" si="3"/>
        <v>0</v>
      </c>
      <c r="Q11" s="45">
        <f t="shared" si="3"/>
        <v>0</v>
      </c>
      <c r="R11" s="46">
        <f>SUM(F11:Q11)</f>
        <v>0</v>
      </c>
      <c r="S11" s="24"/>
      <c r="T11" s="44">
        <f>SUM(T12:T14)</f>
        <v>0</v>
      </c>
      <c r="U11" s="44">
        <f>SUM(U12:U14)</f>
        <v>0</v>
      </c>
      <c r="V11" s="44">
        <f>SUM(V12:V14)</f>
        <v>0</v>
      </c>
      <c r="W11" s="45">
        <f>SUM(W12:W14)</f>
        <v>0</v>
      </c>
      <c r="X11" s="46">
        <f t="shared" si="1"/>
        <v>0</v>
      </c>
      <c r="Y11" s="24"/>
      <c r="Z11" s="44">
        <f>SUM(Z12:Z14)</f>
        <v>0</v>
      </c>
      <c r="AA11" s="44">
        <f>SUM(AA12:AA14)</f>
        <v>0</v>
      </c>
      <c r="AB11" s="44">
        <f>SUM(AB12:AB14)</f>
        <v>0</v>
      </c>
      <c r="AC11" s="45">
        <f>SUM(AC12:AC14)</f>
        <v>0</v>
      </c>
      <c r="AD11" s="46">
        <f t="shared" si="2"/>
        <v>0</v>
      </c>
      <c r="AE11" s="47"/>
    </row>
    <row r="12" spans="2:33" ht="11" customHeight="1">
      <c r="B12" s="6"/>
      <c r="C12" s="48" t="s">
        <v>40</v>
      </c>
      <c r="D12" s="27"/>
      <c r="E12" s="27"/>
      <c r="F12" s="28"/>
      <c r="G12" s="28"/>
      <c r="H12" s="28"/>
      <c r="I12" s="28"/>
      <c r="J12" s="28"/>
      <c r="K12" s="28"/>
      <c r="L12" s="28"/>
      <c r="M12" s="28"/>
      <c r="N12" s="28"/>
      <c r="O12" s="28"/>
      <c r="P12" s="28"/>
      <c r="Q12" s="29"/>
      <c r="R12" s="34">
        <f t="shared" si="0"/>
        <v>0</v>
      </c>
      <c r="S12" s="31"/>
      <c r="T12" s="28"/>
      <c r="U12" s="28"/>
      <c r="V12" s="28"/>
      <c r="W12" s="29"/>
      <c r="X12" s="34">
        <f t="shared" si="1"/>
        <v>0</v>
      </c>
      <c r="Y12" s="31"/>
      <c r="Z12" s="28"/>
      <c r="AA12" s="28"/>
      <c r="AB12" s="28"/>
      <c r="AC12" s="29"/>
      <c r="AD12" s="34">
        <f t="shared" si="2"/>
        <v>0</v>
      </c>
      <c r="AE12" s="11"/>
    </row>
    <row r="13" spans="2:33" ht="12.75" customHeight="1">
      <c r="B13" s="6"/>
      <c r="C13" s="49" t="s">
        <v>39</v>
      </c>
      <c r="D13" s="27"/>
      <c r="E13" s="27"/>
      <c r="F13" s="50"/>
      <c r="G13" s="50"/>
      <c r="H13" s="50"/>
      <c r="I13" s="50"/>
      <c r="J13" s="50"/>
      <c r="K13" s="50"/>
      <c r="L13" s="50"/>
      <c r="M13" s="50"/>
      <c r="N13" s="50"/>
      <c r="O13" s="50"/>
      <c r="P13" s="50"/>
      <c r="Q13" s="51"/>
      <c r="R13" s="34">
        <f t="shared" si="0"/>
        <v>0</v>
      </c>
      <c r="S13" s="31"/>
      <c r="T13" s="50"/>
      <c r="U13" s="50"/>
      <c r="V13" s="50"/>
      <c r="W13" s="51"/>
      <c r="X13" s="34">
        <f t="shared" si="1"/>
        <v>0</v>
      </c>
      <c r="Y13" s="31"/>
      <c r="Z13" s="50"/>
      <c r="AA13" s="50"/>
      <c r="AB13" s="50"/>
      <c r="AC13" s="51"/>
      <c r="AD13" s="34">
        <f t="shared" si="2"/>
        <v>0</v>
      </c>
      <c r="AE13" s="36"/>
    </row>
    <row r="14" spans="2:33" ht="11" customHeight="1">
      <c r="B14" s="6"/>
      <c r="C14" s="52" t="s">
        <v>183</v>
      </c>
      <c r="D14" s="27"/>
      <c r="E14" s="27"/>
      <c r="F14" s="37"/>
      <c r="G14" s="37"/>
      <c r="H14" s="37"/>
      <c r="I14" s="37"/>
      <c r="J14" s="37"/>
      <c r="K14" s="37"/>
      <c r="L14" s="37"/>
      <c r="M14" s="37"/>
      <c r="N14" s="37">
        <v>0</v>
      </c>
      <c r="O14" s="37"/>
      <c r="P14" s="37"/>
      <c r="Q14" s="37">
        <v>0</v>
      </c>
      <c r="R14" s="34">
        <f t="shared" si="0"/>
        <v>0</v>
      </c>
      <c r="S14" s="31"/>
      <c r="T14" s="37">
        <v>0</v>
      </c>
      <c r="U14" s="37">
        <v>0</v>
      </c>
      <c r="V14" s="37">
        <v>0</v>
      </c>
      <c r="W14" s="37">
        <v>0</v>
      </c>
      <c r="X14" s="34">
        <f t="shared" si="1"/>
        <v>0</v>
      </c>
      <c r="Y14" s="31"/>
      <c r="Z14" s="37"/>
      <c r="AA14" s="37"/>
      <c r="AB14" s="37"/>
      <c r="AC14" s="53"/>
      <c r="AD14" s="34">
        <f t="shared" si="2"/>
        <v>0</v>
      </c>
      <c r="AE14" s="42"/>
    </row>
    <row r="15" spans="2:33" s="60" customFormat="1" ht="16" thickBot="1">
      <c r="B15" s="54"/>
      <c r="C15" s="55" t="s">
        <v>83</v>
      </c>
      <c r="D15" s="27"/>
      <c r="E15" s="27"/>
      <c r="F15" s="56" t="e">
        <f>F7+F9+F11+F10</f>
        <v>#REF!</v>
      </c>
      <c r="G15" s="56" t="e">
        <f t="shared" ref="G15:AC15" si="4">G7+G9+G11+G10</f>
        <v>#REF!</v>
      </c>
      <c r="H15" s="56" t="e">
        <f t="shared" si="4"/>
        <v>#REF!</v>
      </c>
      <c r="I15" s="56" t="e">
        <f t="shared" si="4"/>
        <v>#REF!</v>
      </c>
      <c r="J15" s="56" t="e">
        <f t="shared" si="4"/>
        <v>#REF!</v>
      </c>
      <c r="K15" s="56" t="e">
        <f t="shared" si="4"/>
        <v>#REF!</v>
      </c>
      <c r="L15" s="56" t="e">
        <f t="shared" si="4"/>
        <v>#REF!</v>
      </c>
      <c r="M15" s="56" t="e">
        <f t="shared" si="4"/>
        <v>#REF!</v>
      </c>
      <c r="N15" s="56" t="e">
        <f t="shared" si="4"/>
        <v>#REF!</v>
      </c>
      <c r="O15" s="56" t="e">
        <f t="shared" si="4"/>
        <v>#REF!</v>
      </c>
      <c r="P15" s="56" t="e">
        <f t="shared" si="4"/>
        <v>#REF!</v>
      </c>
      <c r="Q15" s="57" t="e">
        <f t="shared" si="4"/>
        <v>#REF!</v>
      </c>
      <c r="R15" s="58" t="e">
        <f>SUM(F15:Q15)</f>
        <v>#REF!</v>
      </c>
      <c r="S15" s="31"/>
      <c r="T15" s="56" t="e">
        <f t="shared" si="4"/>
        <v>#REF!</v>
      </c>
      <c r="U15" s="56" t="e">
        <f t="shared" si="4"/>
        <v>#REF!</v>
      </c>
      <c r="V15" s="56" t="e">
        <f t="shared" si="4"/>
        <v>#REF!</v>
      </c>
      <c r="W15" s="57" t="e">
        <f t="shared" si="4"/>
        <v>#REF!</v>
      </c>
      <c r="X15" s="58"/>
      <c r="Y15" s="31"/>
      <c r="Z15" s="56" t="e">
        <f t="shared" si="4"/>
        <v>#REF!</v>
      </c>
      <c r="AA15" s="56" t="e">
        <f t="shared" si="4"/>
        <v>#REF!</v>
      </c>
      <c r="AB15" s="56" t="e">
        <f t="shared" si="4"/>
        <v>#REF!</v>
      </c>
      <c r="AC15" s="57" t="e">
        <f t="shared" si="4"/>
        <v>#REF!</v>
      </c>
      <c r="AD15" s="58"/>
      <c r="AE15" s="59"/>
    </row>
    <row r="16" spans="2:33" s="66" customFormat="1" ht="21.75" customHeight="1">
      <c r="B16" s="61"/>
      <c r="C16" s="62" t="s">
        <v>54</v>
      </c>
      <c r="D16" s="63"/>
      <c r="E16" s="64"/>
      <c r="F16" s="32" t="e">
        <f>+#REF!</f>
        <v>#REF!</v>
      </c>
      <c r="G16" s="32" t="e">
        <f>+#REF!</f>
        <v>#REF!</v>
      </c>
      <c r="H16" s="32" t="e">
        <f>+#REF!</f>
        <v>#REF!</v>
      </c>
      <c r="I16" s="32" t="e">
        <f>+#REF!</f>
        <v>#REF!</v>
      </c>
      <c r="J16" s="32" t="e">
        <f>+#REF!</f>
        <v>#REF!</v>
      </c>
      <c r="K16" s="32" t="e">
        <f>+#REF!</f>
        <v>#REF!</v>
      </c>
      <c r="L16" s="32" t="e">
        <f>+#REF!</f>
        <v>#REF!</v>
      </c>
      <c r="M16" s="32" t="e">
        <f>+#REF!</f>
        <v>#REF!</v>
      </c>
      <c r="N16" s="32" t="e">
        <f>+#REF!</f>
        <v>#REF!</v>
      </c>
      <c r="O16" s="32" t="e">
        <f>+#REF!</f>
        <v>#REF!</v>
      </c>
      <c r="P16" s="32" t="e">
        <f>+#REF!</f>
        <v>#REF!</v>
      </c>
      <c r="Q16" s="33" t="e">
        <f>+#REF!</f>
        <v>#REF!</v>
      </c>
      <c r="R16" s="23" t="e">
        <f>SUM(F16:Q16)</f>
        <v>#REF!</v>
      </c>
      <c r="S16" s="41"/>
      <c r="T16" s="32" t="e">
        <f>+#REF!</f>
        <v>#REF!</v>
      </c>
      <c r="U16" s="32" t="e">
        <f>+#REF!</f>
        <v>#REF!</v>
      </c>
      <c r="V16" s="32" t="e">
        <f>+#REF!</f>
        <v>#REF!</v>
      </c>
      <c r="W16" s="32" t="e">
        <f>+#REF!</f>
        <v>#REF!</v>
      </c>
      <c r="X16" s="34" t="e">
        <f>SUM(T16:W16)</f>
        <v>#REF!</v>
      </c>
      <c r="Y16" s="41"/>
      <c r="Z16" s="32" t="e">
        <f>+#REF!</f>
        <v>#REF!</v>
      </c>
      <c r="AA16" s="32" t="e">
        <f>+#REF!</f>
        <v>#REF!</v>
      </c>
      <c r="AB16" s="32" t="e">
        <f>+#REF!</f>
        <v>#REF!</v>
      </c>
      <c r="AC16" s="33" t="e">
        <f>+#REF!</f>
        <v>#REF!</v>
      </c>
      <c r="AD16" s="23" t="e">
        <f>SUM(Z16:AC16)</f>
        <v>#REF!</v>
      </c>
      <c r="AE16" s="65"/>
      <c r="AG16" s="67"/>
    </row>
    <row r="17" spans="2:52" ht="12" customHeight="1" thickBot="1">
      <c r="B17" s="6"/>
      <c r="C17" s="68" t="s">
        <v>55</v>
      </c>
      <c r="D17" s="27"/>
      <c r="E17" s="20"/>
      <c r="F17" s="50"/>
      <c r="G17" s="50"/>
      <c r="H17" s="50"/>
      <c r="I17" s="50"/>
      <c r="J17" s="50"/>
      <c r="K17" s="50"/>
      <c r="L17" s="50"/>
      <c r="M17" s="50"/>
      <c r="N17" s="50"/>
      <c r="O17" s="50"/>
      <c r="P17" s="50"/>
      <c r="Q17" s="51"/>
      <c r="R17" s="69"/>
      <c r="S17" s="24"/>
      <c r="T17" s="50"/>
      <c r="U17" s="50"/>
      <c r="V17" s="50"/>
      <c r="W17" s="51"/>
      <c r="X17" s="70"/>
      <c r="Y17" s="24"/>
      <c r="Z17" s="50"/>
      <c r="AA17" s="50"/>
      <c r="AB17" s="50"/>
      <c r="AC17" s="51"/>
      <c r="AD17" s="69"/>
      <c r="AE17" s="25"/>
      <c r="AG17" s="71"/>
      <c r="AH17" s="72"/>
      <c r="AI17" s="72"/>
      <c r="AJ17" s="72"/>
      <c r="AK17" s="72"/>
      <c r="AL17" s="72"/>
      <c r="AN17" s="71"/>
      <c r="AO17" s="72"/>
      <c r="AP17" s="72"/>
      <c r="AQ17" s="72"/>
      <c r="AR17" s="72"/>
      <c r="AS17" s="72"/>
      <c r="AU17" s="73"/>
      <c r="AV17" s="72"/>
      <c r="AW17" s="72"/>
      <c r="AX17" s="72"/>
      <c r="AY17" s="72"/>
      <c r="AZ17" s="72"/>
    </row>
    <row r="18" spans="2:52" s="60" customFormat="1" ht="15">
      <c r="B18" s="54"/>
      <c r="C18" s="55" t="s">
        <v>56</v>
      </c>
      <c r="D18" s="27"/>
      <c r="E18" s="27"/>
      <c r="F18" s="56" t="e">
        <f>+F15-F16-F17</f>
        <v>#REF!</v>
      </c>
      <c r="G18" s="74" t="e">
        <f t="shared" ref="G18:Q18" si="5">+G15-G16-G17</f>
        <v>#REF!</v>
      </c>
      <c r="H18" s="74" t="e">
        <f t="shared" si="5"/>
        <v>#REF!</v>
      </c>
      <c r="I18" s="74" t="e">
        <f t="shared" si="5"/>
        <v>#REF!</v>
      </c>
      <c r="J18" s="74" t="e">
        <f t="shared" si="5"/>
        <v>#REF!</v>
      </c>
      <c r="K18" s="74" t="e">
        <f t="shared" si="5"/>
        <v>#REF!</v>
      </c>
      <c r="L18" s="74" t="e">
        <f t="shared" si="5"/>
        <v>#REF!</v>
      </c>
      <c r="M18" s="74" t="e">
        <f t="shared" si="5"/>
        <v>#REF!</v>
      </c>
      <c r="N18" s="74" t="e">
        <f t="shared" si="5"/>
        <v>#REF!</v>
      </c>
      <c r="O18" s="74" t="e">
        <f t="shared" si="5"/>
        <v>#REF!</v>
      </c>
      <c r="P18" s="74" t="e">
        <f t="shared" si="5"/>
        <v>#REF!</v>
      </c>
      <c r="Q18" s="75" t="e">
        <f t="shared" si="5"/>
        <v>#REF!</v>
      </c>
      <c r="R18" s="58"/>
      <c r="S18" s="31"/>
      <c r="T18" s="74" t="e">
        <f>+T15-T16-T17</f>
        <v>#REF!</v>
      </c>
      <c r="U18" s="74" t="e">
        <f>+U15-U16-U17</f>
        <v>#REF!</v>
      </c>
      <c r="V18" s="74" t="e">
        <f>+V15-V16-V17</f>
        <v>#REF!</v>
      </c>
      <c r="W18" s="75" t="e">
        <f>+W15-W16-W17</f>
        <v>#REF!</v>
      </c>
      <c r="X18" s="58" t="e">
        <f>SUM(T18:W18)</f>
        <v>#REF!</v>
      </c>
      <c r="Y18" s="31"/>
      <c r="Z18" s="74" t="e">
        <f>+Z15-Z16-Z17</f>
        <v>#REF!</v>
      </c>
      <c r="AA18" s="74" t="e">
        <f>+AA15-AA16-AA17</f>
        <v>#REF!</v>
      </c>
      <c r="AB18" s="74" t="e">
        <f>+AB15-AB16-AB17</f>
        <v>#REF!</v>
      </c>
      <c r="AC18" s="75" t="e">
        <f>+AC15-AC16-AC17</f>
        <v>#REF!</v>
      </c>
      <c r="AD18" s="58" t="e">
        <f>SUM(Z18:AC18)</f>
        <v>#REF!</v>
      </c>
      <c r="AE18" s="76"/>
    </row>
    <row r="19" spans="2:52" s="84" customFormat="1" ht="21" customHeight="1">
      <c r="B19" s="77"/>
      <c r="C19" s="78" t="s">
        <v>57</v>
      </c>
      <c r="D19" s="20"/>
      <c r="E19" s="20"/>
      <c r="F19" s="79" t="e">
        <f>ROUND(SUM(F20:F23),1)</f>
        <v>#REF!</v>
      </c>
      <c r="G19" s="79" t="e">
        <f t="shared" ref="G19:T19" si="6">ROUND(SUM(G20:G23),1)</f>
        <v>#REF!</v>
      </c>
      <c r="H19" s="79" t="e">
        <f t="shared" si="6"/>
        <v>#REF!</v>
      </c>
      <c r="I19" s="79" t="e">
        <f t="shared" si="6"/>
        <v>#REF!</v>
      </c>
      <c r="J19" s="79" t="e">
        <f t="shared" si="6"/>
        <v>#REF!</v>
      </c>
      <c r="K19" s="79" t="e">
        <f t="shared" si="6"/>
        <v>#REF!</v>
      </c>
      <c r="L19" s="79" t="e">
        <f t="shared" si="6"/>
        <v>#REF!</v>
      </c>
      <c r="M19" s="79" t="e">
        <f t="shared" si="6"/>
        <v>#REF!</v>
      </c>
      <c r="N19" s="79" t="e">
        <f t="shared" si="6"/>
        <v>#REF!</v>
      </c>
      <c r="O19" s="79" t="e">
        <f t="shared" si="6"/>
        <v>#REF!</v>
      </c>
      <c r="P19" s="79" t="e">
        <f t="shared" si="6"/>
        <v>#REF!</v>
      </c>
      <c r="Q19" s="79" t="e">
        <f t="shared" si="6"/>
        <v>#REF!</v>
      </c>
      <c r="R19" s="80" t="e">
        <f>SUM(F19:Q19)</f>
        <v>#REF!</v>
      </c>
      <c r="S19" s="24"/>
      <c r="T19" s="79" t="e">
        <f t="shared" si="6"/>
        <v>#REF!</v>
      </c>
      <c r="U19" s="79" t="e">
        <f>ROUND(SUM(U20:U23),1)</f>
        <v>#REF!</v>
      </c>
      <c r="V19" s="79" t="e">
        <f>ROUND(SUM(V20:V23),1)</f>
        <v>#REF!</v>
      </c>
      <c r="W19" s="79" t="e">
        <f>ROUND(SUM(W20:W23),1)</f>
        <v>#REF!</v>
      </c>
      <c r="X19" s="81" t="e">
        <f>SUM(T19:W19)</f>
        <v>#REF!</v>
      </c>
      <c r="Y19" s="24"/>
      <c r="Z19" s="82" t="e">
        <f>ROUND(SUM(Z20:Z23),1)</f>
        <v>#REF!</v>
      </c>
      <c r="AA19" s="79" t="e">
        <f>ROUND(SUM(AA20:AA23),1)</f>
        <v>#REF!</v>
      </c>
      <c r="AB19" s="79" t="e">
        <f>ROUND(SUM(AB20:AB23),1)</f>
        <v>#REF!</v>
      </c>
      <c r="AC19" s="79" t="e">
        <f>ROUND(SUM(AC20:AC23),1)</f>
        <v>#REF!</v>
      </c>
      <c r="AD19" s="81" t="e">
        <f>SUM(Z19:AC19)</f>
        <v>#REF!</v>
      </c>
      <c r="AE19" s="83"/>
      <c r="AG19" s="85"/>
    </row>
    <row r="20" spans="2:52" ht="14" customHeight="1">
      <c r="B20" s="6"/>
      <c r="C20" s="48" t="s">
        <v>84</v>
      </c>
      <c r="D20" s="27"/>
      <c r="E20" s="27"/>
      <c r="F20" s="2" t="e">
        <f>+#REF!</f>
        <v>#REF!</v>
      </c>
      <c r="G20" s="2" t="e">
        <f>+#REF!</f>
        <v>#REF!</v>
      </c>
      <c r="H20" s="2" t="e">
        <f>+#REF!</f>
        <v>#REF!</v>
      </c>
      <c r="I20" s="2" t="e">
        <f>+#REF!</f>
        <v>#REF!</v>
      </c>
      <c r="J20" s="2" t="e">
        <f>+#REF!</f>
        <v>#REF!</v>
      </c>
      <c r="K20" s="2" t="e">
        <f>+#REF!</f>
        <v>#REF!</v>
      </c>
      <c r="L20" s="2" t="e">
        <f>+#REF!</f>
        <v>#REF!</v>
      </c>
      <c r="M20" s="2" t="e">
        <f>+#REF!</f>
        <v>#REF!</v>
      </c>
      <c r="N20" s="2" t="e">
        <f>+#REF!</f>
        <v>#REF!</v>
      </c>
      <c r="O20" s="2" t="e">
        <f>+#REF!</f>
        <v>#REF!</v>
      </c>
      <c r="P20" s="2" t="e">
        <f>+#REF!</f>
        <v>#REF!</v>
      </c>
      <c r="Q20" s="2" t="e">
        <f>+#REF!</f>
        <v>#REF!</v>
      </c>
      <c r="R20" s="86" t="e">
        <f>SUM(F20:Q20)</f>
        <v>#REF!</v>
      </c>
      <c r="S20" s="31"/>
      <c r="T20" s="2" t="e">
        <f>+#REF!</f>
        <v>#REF!</v>
      </c>
      <c r="U20" s="2" t="e">
        <f>+#REF!</f>
        <v>#REF!</v>
      </c>
      <c r="V20" s="2" t="e">
        <f>+#REF!</f>
        <v>#REF!</v>
      </c>
      <c r="W20" s="87" t="e">
        <f>+#REF!</f>
        <v>#REF!</v>
      </c>
      <c r="X20" s="86" t="e">
        <f t="shared" ref="X20:X34" si="7">SUM(T20:W20)</f>
        <v>#REF!</v>
      </c>
      <c r="Y20" s="31"/>
      <c r="Z20" s="2" t="e">
        <f>+#REF!</f>
        <v>#REF!</v>
      </c>
      <c r="AA20" s="2" t="e">
        <f>+#REF!</f>
        <v>#REF!</v>
      </c>
      <c r="AB20" s="2" t="e">
        <f>+#REF!</f>
        <v>#REF!</v>
      </c>
      <c r="AC20" s="87" t="e">
        <f>+#REF!</f>
        <v>#REF!</v>
      </c>
      <c r="AD20" s="86" t="e">
        <f t="shared" ref="AD20:AD25" si="8">SUM(Z20:AC20)</f>
        <v>#REF!</v>
      </c>
      <c r="AE20" s="11"/>
    </row>
    <row r="21" spans="2:52" ht="15">
      <c r="B21" s="6"/>
      <c r="C21" s="88" t="s">
        <v>175</v>
      </c>
      <c r="D21" s="27"/>
      <c r="E21" s="27"/>
      <c r="F21" s="32"/>
      <c r="G21" s="32"/>
      <c r="H21" s="32"/>
      <c r="I21" s="32"/>
      <c r="J21" s="32"/>
      <c r="K21" s="32"/>
      <c r="L21" s="32"/>
      <c r="M21" s="32"/>
      <c r="N21" s="32"/>
      <c r="O21" s="32"/>
      <c r="P21" s="32"/>
      <c r="Q21" s="33"/>
      <c r="R21" s="34">
        <f t="shared" ref="R21:R34" si="9">SUM(F21:Q21)</f>
        <v>0</v>
      </c>
      <c r="S21" s="31"/>
      <c r="T21" s="32"/>
      <c r="U21" s="32"/>
      <c r="V21" s="32"/>
      <c r="W21" s="33"/>
      <c r="X21" s="34">
        <f t="shared" si="7"/>
        <v>0</v>
      </c>
      <c r="Y21" s="31"/>
      <c r="Z21" s="32"/>
      <c r="AA21" s="32"/>
      <c r="AB21" s="32"/>
      <c r="AC21" s="33"/>
      <c r="AD21" s="34">
        <f t="shared" si="8"/>
        <v>0</v>
      </c>
      <c r="AE21" s="11"/>
    </row>
    <row r="22" spans="2:52">
      <c r="B22" s="6"/>
      <c r="C22" s="89" t="s">
        <v>85</v>
      </c>
      <c r="D22" s="90"/>
      <c r="E22" s="90"/>
      <c r="F22" s="50" t="e">
        <f>+F20*Parameter!$D$25</f>
        <v>#REF!</v>
      </c>
      <c r="G22" s="50" t="e">
        <f>+G20*Parameter!$D$25</f>
        <v>#REF!</v>
      </c>
      <c r="H22" s="50" t="e">
        <f>+H20*Parameter!$D$25</f>
        <v>#REF!</v>
      </c>
      <c r="I22" s="50" t="e">
        <f>+I20*Parameter!$D$25</f>
        <v>#REF!</v>
      </c>
      <c r="J22" s="50" t="e">
        <f>+J20*Parameter!$D$25</f>
        <v>#REF!</v>
      </c>
      <c r="K22" s="50" t="e">
        <f>+K20*Parameter!$D$25</f>
        <v>#REF!</v>
      </c>
      <c r="L22" s="50" t="e">
        <f>+L20*Parameter!$D$25</f>
        <v>#REF!</v>
      </c>
      <c r="M22" s="50" t="e">
        <f>+M20*Parameter!$D$25</f>
        <v>#REF!</v>
      </c>
      <c r="N22" s="50" t="e">
        <f>+N20*Parameter!$D$25</f>
        <v>#REF!</v>
      </c>
      <c r="O22" s="50" t="e">
        <f>+O20*Parameter!$D$25</f>
        <v>#REF!</v>
      </c>
      <c r="P22" s="50" t="e">
        <f>+P20*Parameter!$D$25</f>
        <v>#REF!</v>
      </c>
      <c r="Q22" s="51" t="e">
        <f>+Q20*Parameter!$D$25</f>
        <v>#REF!</v>
      </c>
      <c r="R22" s="91" t="e">
        <f t="shared" si="9"/>
        <v>#REF!</v>
      </c>
      <c r="S22" s="92"/>
      <c r="T22" s="50" t="e">
        <f>+T20*Parameter!$D$25</f>
        <v>#REF!</v>
      </c>
      <c r="U22" s="50" t="e">
        <f>+U20*Parameter!$D$25</f>
        <v>#REF!</v>
      </c>
      <c r="V22" s="50" t="e">
        <f>+V20*Parameter!$D$25</f>
        <v>#REF!</v>
      </c>
      <c r="W22" s="51" t="e">
        <f>+W20*Parameter!$D$25</f>
        <v>#REF!</v>
      </c>
      <c r="X22" s="91" t="e">
        <f t="shared" si="7"/>
        <v>#REF!</v>
      </c>
      <c r="Y22" s="92"/>
      <c r="Z22" s="50" t="e">
        <f>+Z20*Parameter!$D$25</f>
        <v>#REF!</v>
      </c>
      <c r="AA22" s="50" t="e">
        <f>+AA20*Parameter!$D$25</f>
        <v>#REF!</v>
      </c>
      <c r="AB22" s="50" t="e">
        <f>+AB20*Parameter!$D$25</f>
        <v>#REF!</v>
      </c>
      <c r="AC22" s="51" t="e">
        <f>+AC20*Parameter!$D$25</f>
        <v>#REF!</v>
      </c>
      <c r="AD22" s="91" t="e">
        <f t="shared" si="8"/>
        <v>#REF!</v>
      </c>
      <c r="AE22" s="11"/>
    </row>
    <row r="23" spans="2:52" ht="14" customHeight="1">
      <c r="B23" s="6"/>
      <c r="C23" s="88" t="s">
        <v>176</v>
      </c>
      <c r="D23" s="27"/>
      <c r="E23" s="27"/>
      <c r="F23" s="32"/>
      <c r="G23" s="32"/>
      <c r="H23" s="32"/>
      <c r="I23" s="32"/>
      <c r="J23" s="32"/>
      <c r="K23" s="32"/>
      <c r="L23" s="32"/>
      <c r="M23" s="32"/>
      <c r="N23" s="32"/>
      <c r="O23" s="32"/>
      <c r="P23" s="32"/>
      <c r="Q23" s="33"/>
      <c r="R23" s="34">
        <f t="shared" si="9"/>
        <v>0</v>
      </c>
      <c r="S23" s="31"/>
      <c r="T23" s="32"/>
      <c r="U23" s="32"/>
      <c r="V23" s="32"/>
      <c r="W23" s="33"/>
      <c r="X23" s="34">
        <f t="shared" si="7"/>
        <v>0</v>
      </c>
      <c r="Y23" s="31"/>
      <c r="Z23" s="32"/>
      <c r="AA23" s="32"/>
      <c r="AB23" s="32"/>
      <c r="AC23" s="33"/>
      <c r="AD23" s="34">
        <f t="shared" si="8"/>
        <v>0</v>
      </c>
      <c r="AE23" s="11"/>
    </row>
    <row r="24" spans="2:52" ht="12" customHeight="1">
      <c r="B24" s="6"/>
      <c r="C24" s="52"/>
      <c r="D24" s="27"/>
      <c r="E24" s="27"/>
      <c r="F24" s="93"/>
      <c r="G24" s="72"/>
      <c r="H24" s="72"/>
      <c r="I24" s="72"/>
      <c r="J24" s="72"/>
      <c r="K24" s="72"/>
      <c r="L24" s="72"/>
      <c r="M24" s="72"/>
      <c r="N24" s="72"/>
      <c r="O24" s="72"/>
      <c r="P24" s="72"/>
      <c r="Q24" s="72"/>
      <c r="R24" s="94">
        <f t="shared" si="9"/>
        <v>0</v>
      </c>
      <c r="S24" s="31"/>
      <c r="T24" s="93"/>
      <c r="U24" s="72"/>
      <c r="V24" s="72"/>
      <c r="W24" s="72"/>
      <c r="X24" s="94">
        <f t="shared" si="7"/>
        <v>0</v>
      </c>
      <c r="Y24" s="31"/>
      <c r="Z24" s="95"/>
      <c r="AA24" s="72"/>
      <c r="AB24" s="72"/>
      <c r="AC24" s="72"/>
      <c r="AD24" s="94">
        <f t="shared" si="8"/>
        <v>0</v>
      </c>
      <c r="AE24" s="11"/>
    </row>
    <row r="25" spans="2:52" s="84" customFormat="1" ht="12" customHeight="1">
      <c r="B25" s="77"/>
      <c r="C25" s="96" t="s">
        <v>58</v>
      </c>
      <c r="D25" s="27"/>
      <c r="E25" s="27"/>
      <c r="F25" s="44" t="e">
        <f>+'Development Costs'!#REF!</f>
        <v>#REF!</v>
      </c>
      <c r="G25" s="44" t="e">
        <f>+'Development Costs'!#REF!</f>
        <v>#REF!</v>
      </c>
      <c r="H25" s="44" t="e">
        <f>+'Development Costs'!#REF!</f>
        <v>#REF!</v>
      </c>
      <c r="I25" s="44" t="e">
        <f>+'Development Costs'!#REF!</f>
        <v>#REF!</v>
      </c>
      <c r="J25" s="44" t="e">
        <f>+'Development Costs'!#REF!</f>
        <v>#REF!</v>
      </c>
      <c r="K25" s="44" t="e">
        <f>+'Development Costs'!#REF!</f>
        <v>#REF!</v>
      </c>
      <c r="L25" s="44" t="e">
        <f>+'Development Costs'!#REF!</f>
        <v>#REF!</v>
      </c>
      <c r="M25" s="44" t="e">
        <f>+'Development Costs'!#REF!</f>
        <v>#REF!</v>
      </c>
      <c r="N25" s="44" t="e">
        <f>+'Development Costs'!#REF!</f>
        <v>#REF!</v>
      </c>
      <c r="O25" s="44" t="e">
        <f>+'Development Costs'!#REF!</f>
        <v>#REF!</v>
      </c>
      <c r="P25" s="44" t="e">
        <f>+'Development Costs'!#REF!</f>
        <v>#REF!</v>
      </c>
      <c r="Q25" s="45" t="e">
        <f>+'Development Costs'!#REF!</f>
        <v>#REF!</v>
      </c>
      <c r="R25" s="46" t="e">
        <f t="shared" si="9"/>
        <v>#REF!</v>
      </c>
      <c r="S25" s="31"/>
      <c r="T25" s="44" t="e">
        <f>+'Development Costs'!#REF!</f>
        <v>#REF!</v>
      </c>
      <c r="U25" s="44" t="e">
        <f>+'Development Costs'!#REF!</f>
        <v>#REF!</v>
      </c>
      <c r="V25" s="44" t="e">
        <f>+'Development Costs'!#REF!</f>
        <v>#REF!</v>
      </c>
      <c r="W25" s="45" t="e">
        <f>+'Development Costs'!#REF!</f>
        <v>#REF!</v>
      </c>
      <c r="X25" s="46" t="e">
        <f t="shared" si="7"/>
        <v>#REF!</v>
      </c>
      <c r="Y25" s="31"/>
      <c r="Z25" s="44" t="e">
        <f>+'Development Costs'!#REF!</f>
        <v>#REF!</v>
      </c>
      <c r="AA25" s="44" t="e">
        <f>+'Development Costs'!#REF!</f>
        <v>#REF!</v>
      </c>
      <c r="AB25" s="44" t="e">
        <f>+'Development Costs'!#REF!</f>
        <v>#REF!</v>
      </c>
      <c r="AC25" s="45" t="e">
        <f>+'Development Costs'!#REF!</f>
        <v>#REF!</v>
      </c>
      <c r="AD25" s="46" t="e">
        <f t="shared" si="8"/>
        <v>#REF!</v>
      </c>
      <c r="AE25" s="83"/>
      <c r="AG25" s="85"/>
    </row>
    <row r="26" spans="2:52" ht="12" customHeight="1">
      <c r="B26" s="6"/>
      <c r="C26" s="97"/>
      <c r="D26" s="27"/>
      <c r="E26" s="27"/>
      <c r="F26" s="72"/>
      <c r="G26" s="72"/>
      <c r="H26" s="72"/>
      <c r="I26" s="72"/>
      <c r="J26" s="72"/>
      <c r="K26" s="72"/>
      <c r="L26" s="72"/>
      <c r="M26" s="72"/>
      <c r="N26" s="72"/>
      <c r="O26" s="72"/>
      <c r="P26" s="72"/>
      <c r="Q26" s="72"/>
      <c r="R26" s="94"/>
      <c r="S26" s="31"/>
      <c r="T26" s="72"/>
      <c r="U26" s="72"/>
      <c r="V26" s="72"/>
      <c r="W26" s="72"/>
      <c r="X26" s="80"/>
      <c r="Y26" s="31"/>
      <c r="Z26" s="98"/>
      <c r="AA26" s="72"/>
      <c r="AB26" s="72"/>
      <c r="AC26" s="72"/>
      <c r="AD26" s="94"/>
      <c r="AE26" s="11"/>
    </row>
    <row r="27" spans="2:52" s="84" customFormat="1" ht="15" customHeight="1">
      <c r="B27" s="77"/>
      <c r="C27" s="96" t="s">
        <v>59</v>
      </c>
      <c r="D27" s="20"/>
      <c r="E27" s="27"/>
      <c r="F27" s="44" t="e">
        <f>ROUND(SUM(F28:F34),1)</f>
        <v>#REF!</v>
      </c>
      <c r="G27" s="44" t="e">
        <f t="shared" ref="G27:Q27" si="10">ROUND(SUM(G28:G34),1)</f>
        <v>#REF!</v>
      </c>
      <c r="H27" s="44" t="e">
        <f t="shared" si="10"/>
        <v>#REF!</v>
      </c>
      <c r="I27" s="44" t="e">
        <f t="shared" si="10"/>
        <v>#REF!</v>
      </c>
      <c r="J27" s="44" t="e">
        <f t="shared" si="10"/>
        <v>#REF!</v>
      </c>
      <c r="K27" s="44" t="e">
        <f t="shared" si="10"/>
        <v>#REF!</v>
      </c>
      <c r="L27" s="44" t="e">
        <f t="shared" si="10"/>
        <v>#REF!</v>
      </c>
      <c r="M27" s="44" t="e">
        <f t="shared" si="10"/>
        <v>#REF!</v>
      </c>
      <c r="N27" s="44" t="e">
        <f t="shared" si="10"/>
        <v>#REF!</v>
      </c>
      <c r="O27" s="44" t="e">
        <f t="shared" si="10"/>
        <v>#REF!</v>
      </c>
      <c r="P27" s="44" t="e">
        <f t="shared" si="10"/>
        <v>#REF!</v>
      </c>
      <c r="Q27" s="45" t="e">
        <f t="shared" si="10"/>
        <v>#REF!</v>
      </c>
      <c r="R27" s="46" t="e">
        <f t="shared" si="9"/>
        <v>#REF!</v>
      </c>
      <c r="S27" s="31"/>
      <c r="T27" s="44" t="e">
        <f>ROUND(SUM(T28:T34),1)</f>
        <v>#REF!</v>
      </c>
      <c r="U27" s="44" t="e">
        <f>ROUND(SUM(U28:U34),1)</f>
        <v>#REF!</v>
      </c>
      <c r="V27" s="44" t="e">
        <f>ROUND(SUM(V28:V34),1)</f>
        <v>#REF!</v>
      </c>
      <c r="W27" s="45" t="e">
        <f>ROUND(SUM(W28:W34),1)</f>
        <v>#REF!</v>
      </c>
      <c r="X27" s="46" t="e">
        <f t="shared" si="7"/>
        <v>#REF!</v>
      </c>
      <c r="Y27" s="31"/>
      <c r="Z27" s="44" t="e">
        <f>ROUND(SUM(Z28:Z34),1)</f>
        <v>#REF!</v>
      </c>
      <c r="AA27" s="44" t="e">
        <f>ROUND(SUM(AA28:AA34),1)</f>
        <v>#REF!</v>
      </c>
      <c r="AB27" s="44" t="e">
        <f>ROUND(SUM(AB28:AB34),1)</f>
        <v>#REF!</v>
      </c>
      <c r="AC27" s="45" t="e">
        <f>ROUND(SUM(AC28:AC34),1)</f>
        <v>#REF!</v>
      </c>
      <c r="AD27" s="46" t="e">
        <f t="shared" ref="AD27:AD34" si="11">SUM(Z27:AC27)</f>
        <v>#REF!</v>
      </c>
      <c r="AE27" s="83"/>
      <c r="AG27" s="85"/>
    </row>
    <row r="28" spans="2:52" ht="12" customHeight="1">
      <c r="B28" s="6"/>
      <c r="C28" s="48" t="s">
        <v>60</v>
      </c>
      <c r="D28" s="27"/>
      <c r="E28" s="27"/>
      <c r="F28" s="2">
        <f>(+'other  costs'!F15+'other  costs'!F10)/$K$3</f>
        <v>1.5</v>
      </c>
      <c r="G28" s="2">
        <f>(+'other  costs'!G15+'other  costs'!G10)/$K$3</f>
        <v>0</v>
      </c>
      <c r="H28" s="2">
        <f>(+'other  costs'!H15+'other  costs'!H10)/$K$3</f>
        <v>0</v>
      </c>
      <c r="I28" s="2">
        <f>(+'other  costs'!I15+'other  costs'!I10)/$K$3</f>
        <v>0</v>
      </c>
      <c r="J28" s="2">
        <f>(+'other  costs'!J15+'other  costs'!J10)/$K$3</f>
        <v>0</v>
      </c>
      <c r="K28" s="2">
        <f>(+'other  costs'!K15+'other  costs'!K10)/$K$3</f>
        <v>0</v>
      </c>
      <c r="L28" s="2">
        <f>(+'other  costs'!L15+'other  costs'!L10)/$K$3</f>
        <v>0</v>
      </c>
      <c r="M28" s="2">
        <f>(+'other  costs'!M15+'other  costs'!M10)/$K$3</f>
        <v>0</v>
      </c>
      <c r="N28" s="2">
        <f>(+'other  costs'!N15+'other  costs'!N10)/$K$3</f>
        <v>0</v>
      </c>
      <c r="O28" s="2">
        <f>(+'other  costs'!O15+'other  costs'!O10)/$K$3</f>
        <v>0</v>
      </c>
      <c r="P28" s="2">
        <f>(+'other  costs'!P15+'other  costs'!P10)/$K$3</f>
        <v>0</v>
      </c>
      <c r="Q28" s="2">
        <f>(+'other  costs'!Q15+'other  costs'!Q10)/$K$3</f>
        <v>0</v>
      </c>
      <c r="R28" s="86">
        <f t="shared" si="9"/>
        <v>1.5</v>
      </c>
      <c r="S28" s="31"/>
      <c r="T28" s="2" t="e">
        <f>+'other  costs'!#REF!/$K$3</f>
        <v>#REF!</v>
      </c>
      <c r="U28" s="2" t="e">
        <f>+'other  costs'!#REF!/$K$3</f>
        <v>#REF!</v>
      </c>
      <c r="V28" s="2" t="e">
        <f>+'other  costs'!#REF!/$K$3</f>
        <v>#REF!</v>
      </c>
      <c r="W28" s="87" t="e">
        <f>+'other  costs'!#REF!/$K$3</f>
        <v>#REF!</v>
      </c>
      <c r="X28" s="86" t="e">
        <f t="shared" si="7"/>
        <v>#REF!</v>
      </c>
      <c r="Y28" s="31"/>
      <c r="Z28" s="2" t="e">
        <f>+'other  costs'!#REF!/$K$3</f>
        <v>#REF!</v>
      </c>
      <c r="AA28" s="2" t="e">
        <f>+'other  costs'!#REF!/$K$3</f>
        <v>#REF!</v>
      </c>
      <c r="AB28" s="2" t="e">
        <f>+'other  costs'!#REF!/$K$3</f>
        <v>#REF!</v>
      </c>
      <c r="AC28" s="87" t="e">
        <f>+'other  costs'!#REF!/$K$3</f>
        <v>#REF!</v>
      </c>
      <c r="AD28" s="86" t="e">
        <f t="shared" si="11"/>
        <v>#REF!</v>
      </c>
      <c r="AE28" s="11"/>
      <c r="AG28" s="67"/>
    </row>
    <row r="29" spans="2:52" ht="12" customHeight="1">
      <c r="B29" s="6"/>
      <c r="C29" s="88" t="s">
        <v>61</v>
      </c>
      <c r="D29" s="27"/>
      <c r="E29" s="64"/>
      <c r="F29" s="32" t="e">
        <f>+'other  costs'!#REF!/$K$3</f>
        <v>#REF!</v>
      </c>
      <c r="G29" s="32" t="e">
        <f>+'other  costs'!#REF!/$K$3</f>
        <v>#REF!</v>
      </c>
      <c r="H29" s="32" t="e">
        <f>+'other  costs'!#REF!/$K$3</f>
        <v>#REF!</v>
      </c>
      <c r="I29" s="32" t="e">
        <f>+'other  costs'!#REF!/$K$3</f>
        <v>#REF!</v>
      </c>
      <c r="J29" s="32" t="e">
        <f>+'other  costs'!#REF!/$K$3</f>
        <v>#REF!</v>
      </c>
      <c r="K29" s="32" t="e">
        <f>+'other  costs'!#REF!/$K$3</f>
        <v>#REF!</v>
      </c>
      <c r="L29" s="32" t="e">
        <f>+'other  costs'!#REF!/$K$3</f>
        <v>#REF!</v>
      </c>
      <c r="M29" s="32" t="e">
        <f>+'other  costs'!#REF!/$K$3</f>
        <v>#REF!</v>
      </c>
      <c r="N29" s="32" t="e">
        <f>+'other  costs'!#REF!/$K$3</f>
        <v>#REF!</v>
      </c>
      <c r="O29" s="32" t="e">
        <f>+'other  costs'!#REF!/$K$3</f>
        <v>#REF!</v>
      </c>
      <c r="P29" s="32" t="e">
        <f>+'other  costs'!#REF!/$K$3</f>
        <v>#REF!</v>
      </c>
      <c r="Q29" s="33" t="e">
        <f>+'other  costs'!#REF!/$K$3</f>
        <v>#REF!</v>
      </c>
      <c r="R29" s="34" t="e">
        <f t="shared" si="9"/>
        <v>#REF!</v>
      </c>
      <c r="S29" s="41"/>
      <c r="T29" s="32" t="e">
        <f>+'other  costs'!#REF!/$K$3</f>
        <v>#REF!</v>
      </c>
      <c r="U29" s="32" t="e">
        <f>+'other  costs'!#REF!/$K$3</f>
        <v>#REF!</v>
      </c>
      <c r="V29" s="32" t="e">
        <f>+'other  costs'!#REF!/$K$3</f>
        <v>#REF!</v>
      </c>
      <c r="W29" s="33" t="e">
        <f>+'other  costs'!#REF!/$K$3</f>
        <v>#REF!</v>
      </c>
      <c r="X29" s="34" t="e">
        <f t="shared" si="7"/>
        <v>#REF!</v>
      </c>
      <c r="Y29" s="41"/>
      <c r="Z29" s="32" t="e">
        <f>+'other  costs'!#REF!/$K$3</f>
        <v>#REF!</v>
      </c>
      <c r="AA29" s="32" t="e">
        <f>+'other  costs'!#REF!/$K$3</f>
        <v>#REF!</v>
      </c>
      <c r="AB29" s="32" t="e">
        <f>+'other  costs'!#REF!/$K$3</f>
        <v>#REF!</v>
      </c>
      <c r="AC29" s="33" t="e">
        <f>+'other  costs'!#REF!/$K$3</f>
        <v>#REF!</v>
      </c>
      <c r="AD29" s="34" t="e">
        <f t="shared" si="11"/>
        <v>#REF!</v>
      </c>
      <c r="AE29" s="11"/>
      <c r="AG29" s="67"/>
    </row>
    <row r="30" spans="2:52" ht="12" customHeight="1">
      <c r="B30" s="6"/>
      <c r="C30" s="88" t="s">
        <v>62</v>
      </c>
      <c r="D30" s="27"/>
      <c r="E30" s="64"/>
      <c r="F30" s="32">
        <f>+'other  costs'!F61/$K$3</f>
        <v>0.3</v>
      </c>
      <c r="G30" s="32">
        <f>+'other  costs'!G61/$K$3</f>
        <v>0</v>
      </c>
      <c r="H30" s="32">
        <f>+'other  costs'!H61/$K$3</f>
        <v>0</v>
      </c>
      <c r="I30" s="32">
        <f>+'other  costs'!I61/$K$3</f>
        <v>0</v>
      </c>
      <c r="J30" s="32">
        <f>+'other  costs'!J61/$K$3</f>
        <v>0</v>
      </c>
      <c r="K30" s="32">
        <f>+'other  costs'!K61/$K$3</f>
        <v>0</v>
      </c>
      <c r="L30" s="32">
        <f>+'other  costs'!L61/$K$3</f>
        <v>0</v>
      </c>
      <c r="M30" s="32">
        <f>+'other  costs'!M61/$K$3</f>
        <v>0</v>
      </c>
      <c r="N30" s="32">
        <f>+'other  costs'!N61/$K$3</f>
        <v>0</v>
      </c>
      <c r="O30" s="32">
        <f>+'other  costs'!O61/$K$3</f>
        <v>0</v>
      </c>
      <c r="P30" s="32">
        <f>+'other  costs'!P61/$K$3</f>
        <v>0</v>
      </c>
      <c r="Q30" s="33">
        <f>+'other  costs'!Q61/$K$3</f>
        <v>0</v>
      </c>
      <c r="R30" s="34">
        <f t="shared" si="9"/>
        <v>0.3</v>
      </c>
      <c r="S30" s="41"/>
      <c r="T30" s="32" t="e">
        <f>+'other  costs'!#REF!/$K$3</f>
        <v>#REF!</v>
      </c>
      <c r="U30" s="32" t="e">
        <f>+'other  costs'!#REF!/$K$3</f>
        <v>#REF!</v>
      </c>
      <c r="V30" s="32" t="e">
        <f>+'other  costs'!#REF!/$K$3</f>
        <v>#REF!</v>
      </c>
      <c r="W30" s="33" t="e">
        <f>+'other  costs'!#REF!/$K$3</f>
        <v>#REF!</v>
      </c>
      <c r="X30" s="34" t="e">
        <f t="shared" si="7"/>
        <v>#REF!</v>
      </c>
      <c r="Y30" s="41"/>
      <c r="Z30" s="32" t="e">
        <f>+'other  costs'!#REF!/$K$3</f>
        <v>#REF!</v>
      </c>
      <c r="AA30" s="32" t="e">
        <f>+'other  costs'!#REF!/$K$3</f>
        <v>#REF!</v>
      </c>
      <c r="AB30" s="32" t="e">
        <f>+'other  costs'!#REF!/$K$3</f>
        <v>#REF!</v>
      </c>
      <c r="AC30" s="33" t="e">
        <f>+'other  costs'!#REF!/$K$3</f>
        <v>#REF!</v>
      </c>
      <c r="AD30" s="34" t="e">
        <f t="shared" si="11"/>
        <v>#REF!</v>
      </c>
      <c r="AE30" s="11"/>
      <c r="AG30" s="67"/>
    </row>
    <row r="31" spans="2:52" ht="12" customHeight="1">
      <c r="B31" s="6"/>
      <c r="C31" s="88" t="s">
        <v>63</v>
      </c>
      <c r="D31" s="27"/>
      <c r="E31" s="64"/>
      <c r="F31" s="32">
        <f>(+'other  costs'!F32+'other  costs'!F39)/$K$3</f>
        <v>1.5</v>
      </c>
      <c r="G31" s="32">
        <f>(+'other  costs'!G32+'other  costs'!G39)/$K$3</f>
        <v>0</v>
      </c>
      <c r="H31" s="32">
        <f>(+'other  costs'!H32+'other  costs'!H39)/$K$3</f>
        <v>0</v>
      </c>
      <c r="I31" s="32">
        <f>(+'other  costs'!I32+'other  costs'!I39)/$K$3</f>
        <v>0</v>
      </c>
      <c r="J31" s="32">
        <f>(+'other  costs'!J32+'other  costs'!J39)/$K$3</f>
        <v>0</v>
      </c>
      <c r="K31" s="32">
        <f>(+'other  costs'!K32+'other  costs'!K39)/$K$3</f>
        <v>0</v>
      </c>
      <c r="L31" s="32">
        <f>(+'other  costs'!L32+'other  costs'!L39)/$K$3</f>
        <v>0</v>
      </c>
      <c r="M31" s="32">
        <f>(+'other  costs'!M32+'other  costs'!M39)/$K$3</f>
        <v>0</v>
      </c>
      <c r="N31" s="32">
        <f>(+'other  costs'!N32+'other  costs'!N39)/$K$3</f>
        <v>0</v>
      </c>
      <c r="O31" s="32">
        <f>(+'other  costs'!O32+'other  costs'!O39)/$K$3</f>
        <v>0</v>
      </c>
      <c r="P31" s="32">
        <f>(+'other  costs'!P32+'other  costs'!P39)/$K$3</f>
        <v>0</v>
      </c>
      <c r="Q31" s="33">
        <f>(+'other  costs'!Q32+'other  costs'!Q39)/$K$3</f>
        <v>0</v>
      </c>
      <c r="R31" s="34">
        <f t="shared" si="9"/>
        <v>1.5</v>
      </c>
      <c r="S31" s="41"/>
      <c r="T31" s="32" t="e">
        <f>(+'other  costs'!#REF!+'other  costs'!#REF!)/$K$3</f>
        <v>#REF!</v>
      </c>
      <c r="U31" s="32" t="e">
        <f>(+'other  costs'!#REF!+'other  costs'!#REF!)/$K$3</f>
        <v>#REF!</v>
      </c>
      <c r="V31" s="32" t="e">
        <f>(+'other  costs'!#REF!+'other  costs'!#REF!)/$K$3</f>
        <v>#REF!</v>
      </c>
      <c r="W31" s="33" t="e">
        <f>(+'other  costs'!#REF!+'other  costs'!#REF!)/$K$3</f>
        <v>#REF!</v>
      </c>
      <c r="X31" s="34" t="e">
        <f t="shared" si="7"/>
        <v>#REF!</v>
      </c>
      <c r="Y31" s="41"/>
      <c r="Z31" s="32" t="e">
        <f>(+'other  costs'!#REF!+'other  costs'!#REF!)/$K$3</f>
        <v>#REF!</v>
      </c>
      <c r="AA31" s="32" t="e">
        <f>(+'other  costs'!#REF!+'other  costs'!#REF!)/$K$3</f>
        <v>#REF!</v>
      </c>
      <c r="AB31" s="32" t="e">
        <f>(+'other  costs'!#REF!+'other  costs'!#REF!)/$K$3</f>
        <v>#REF!</v>
      </c>
      <c r="AC31" s="33" t="e">
        <f>(+'other  costs'!#REF!+'other  costs'!#REF!)/$K$3</f>
        <v>#REF!</v>
      </c>
      <c r="AD31" s="34" t="e">
        <f t="shared" si="11"/>
        <v>#REF!</v>
      </c>
      <c r="AE31" s="11"/>
      <c r="AG31" s="67"/>
    </row>
    <row r="32" spans="2:52" ht="12" customHeight="1">
      <c r="B32" s="6"/>
      <c r="C32" s="49" t="s">
        <v>39</v>
      </c>
      <c r="D32" s="27"/>
      <c r="E32" s="64"/>
      <c r="F32" s="32" t="e">
        <f>+#REF!</f>
        <v>#REF!</v>
      </c>
      <c r="G32" s="32" t="e">
        <f>+#REF!</f>
        <v>#REF!</v>
      </c>
      <c r="H32" s="32" t="e">
        <f>+#REF!</f>
        <v>#REF!</v>
      </c>
      <c r="I32" s="32" t="e">
        <f>+#REF!</f>
        <v>#REF!</v>
      </c>
      <c r="J32" s="32" t="e">
        <f>+#REF!</f>
        <v>#REF!</v>
      </c>
      <c r="K32" s="32" t="e">
        <f>+#REF!</f>
        <v>#REF!</v>
      </c>
      <c r="L32" s="32" t="e">
        <f>+#REF!</f>
        <v>#REF!</v>
      </c>
      <c r="M32" s="32" t="e">
        <f>+#REF!</f>
        <v>#REF!</v>
      </c>
      <c r="N32" s="32" t="e">
        <f>+#REF!</f>
        <v>#REF!</v>
      </c>
      <c r="O32" s="32" t="e">
        <f>+#REF!</f>
        <v>#REF!</v>
      </c>
      <c r="P32" s="32" t="e">
        <f>+#REF!</f>
        <v>#REF!</v>
      </c>
      <c r="Q32" s="33" t="e">
        <f>+#REF!</f>
        <v>#REF!</v>
      </c>
      <c r="R32" s="34" t="e">
        <f t="shared" si="9"/>
        <v>#REF!</v>
      </c>
      <c r="S32" s="41"/>
      <c r="T32" s="32" t="e">
        <f>+#REF!</f>
        <v>#REF!</v>
      </c>
      <c r="U32" s="32" t="e">
        <f>+#REF!</f>
        <v>#REF!</v>
      </c>
      <c r="V32" s="32" t="e">
        <f>+#REF!</f>
        <v>#REF!</v>
      </c>
      <c r="W32" s="32" t="e">
        <f>+#REF!</f>
        <v>#REF!</v>
      </c>
      <c r="X32" s="34" t="e">
        <f t="shared" si="7"/>
        <v>#REF!</v>
      </c>
      <c r="Y32" s="41"/>
      <c r="Z32" s="32" t="e">
        <f>+#REF!</f>
        <v>#REF!</v>
      </c>
      <c r="AA32" s="32" t="e">
        <f>+#REF!</f>
        <v>#REF!</v>
      </c>
      <c r="AB32" s="32" t="e">
        <f>+#REF!</f>
        <v>#REF!</v>
      </c>
      <c r="AC32" s="33" t="e">
        <f>+#REF!</f>
        <v>#REF!</v>
      </c>
      <c r="AD32" s="34" t="e">
        <f t="shared" si="11"/>
        <v>#REF!</v>
      </c>
      <c r="AE32" s="11"/>
      <c r="AG32" s="67"/>
    </row>
    <row r="33" spans="2:33" ht="12" customHeight="1">
      <c r="B33" s="6"/>
      <c r="C33" s="88" t="s">
        <v>90</v>
      </c>
      <c r="D33" s="27"/>
      <c r="E33" s="64"/>
      <c r="F33" s="32">
        <f>+'Development Costs'!G65</f>
        <v>0</v>
      </c>
      <c r="G33" s="32">
        <f>+'Development Costs'!H65</f>
        <v>0</v>
      </c>
      <c r="H33" s="32">
        <f>+'Development Costs'!I65</f>
        <v>4</v>
      </c>
      <c r="I33" s="32">
        <f>+'Development Costs'!J65</f>
        <v>0</v>
      </c>
      <c r="J33" s="32">
        <f>+'Development Costs'!K65</f>
        <v>0</v>
      </c>
      <c r="K33" s="32">
        <f>+'Development Costs'!L65</f>
        <v>0</v>
      </c>
      <c r="L33" s="32">
        <f>+'Development Costs'!M65</f>
        <v>0</v>
      </c>
      <c r="M33" s="32">
        <f>+'Development Costs'!N65</f>
        <v>0</v>
      </c>
      <c r="N33" s="32">
        <f>+'Development Costs'!O65</f>
        <v>0</v>
      </c>
      <c r="O33" s="32">
        <f>+'Development Costs'!P65</f>
        <v>0</v>
      </c>
      <c r="P33" s="32">
        <f>+'Development Costs'!Q65</f>
        <v>0</v>
      </c>
      <c r="Q33" s="33">
        <f>+'Development Costs'!R65</f>
        <v>0</v>
      </c>
      <c r="R33" s="34">
        <f t="shared" si="9"/>
        <v>4</v>
      </c>
      <c r="S33" s="41"/>
      <c r="T33" s="32" t="e">
        <f>+'Development Costs'!#REF!</f>
        <v>#REF!</v>
      </c>
      <c r="U33" s="32" t="e">
        <f>+'Development Costs'!#REF!</f>
        <v>#REF!</v>
      </c>
      <c r="V33" s="32" t="e">
        <f>+'Development Costs'!#REF!</f>
        <v>#REF!</v>
      </c>
      <c r="W33" s="32" t="e">
        <f>+'Development Costs'!#REF!</f>
        <v>#REF!</v>
      </c>
      <c r="X33" s="34" t="e">
        <f t="shared" si="7"/>
        <v>#REF!</v>
      </c>
      <c r="Y33" s="41"/>
      <c r="Z33" s="32" t="e">
        <f>+'Development Costs'!#REF!</f>
        <v>#REF!</v>
      </c>
      <c r="AA33" s="32" t="e">
        <f>+'Development Costs'!#REF!</f>
        <v>#REF!</v>
      </c>
      <c r="AB33" s="32" t="e">
        <f>+'Development Costs'!#REF!</f>
        <v>#REF!</v>
      </c>
      <c r="AC33" s="33" t="e">
        <f>+'Development Costs'!#REF!</f>
        <v>#REF!</v>
      </c>
      <c r="AD33" s="34" t="e">
        <f t="shared" si="11"/>
        <v>#REF!</v>
      </c>
      <c r="AE33" s="11"/>
      <c r="AG33" s="67"/>
    </row>
    <row r="34" spans="2:33" ht="12" customHeight="1">
      <c r="B34" s="6"/>
      <c r="C34" s="88" t="s">
        <v>64</v>
      </c>
      <c r="D34" s="27"/>
      <c r="E34" s="64"/>
      <c r="F34" s="32">
        <f>(+'other  costs'!F65-'other  costs'!F61)/$K$3</f>
        <v>0.3</v>
      </c>
      <c r="G34" s="32">
        <f>(+'other  costs'!G65-'other  costs'!G61)/$K$3</f>
        <v>0</v>
      </c>
      <c r="H34" s="32">
        <f>(+'other  costs'!H65-'other  costs'!H61)/$K$3</f>
        <v>0</v>
      </c>
      <c r="I34" s="32">
        <f>(+'other  costs'!I65-'other  costs'!I61)/$K$3</f>
        <v>0</v>
      </c>
      <c r="J34" s="32">
        <f>(+'other  costs'!J65-'other  costs'!J61)/$K$3</f>
        <v>0</v>
      </c>
      <c r="K34" s="32">
        <f>(+'other  costs'!K65-'other  costs'!K61)/$K$3</f>
        <v>0</v>
      </c>
      <c r="L34" s="32">
        <f>(+'other  costs'!L65-'other  costs'!L61)/$K$3</f>
        <v>0</v>
      </c>
      <c r="M34" s="32">
        <f>(+'other  costs'!M65-'other  costs'!M61)/$K$3</f>
        <v>0</v>
      </c>
      <c r="N34" s="32">
        <f>(+'other  costs'!N65-'other  costs'!N61)/$K$3</f>
        <v>0</v>
      </c>
      <c r="O34" s="32">
        <f>(+'other  costs'!O65-'other  costs'!O61)/$K$3</f>
        <v>0</v>
      </c>
      <c r="P34" s="32">
        <f>(+'other  costs'!P65-'other  costs'!P61)/$K$3</f>
        <v>0</v>
      </c>
      <c r="Q34" s="33">
        <f>(+'other  costs'!Q65-'other  costs'!Q61)/$K$3</f>
        <v>0</v>
      </c>
      <c r="R34" s="34">
        <f t="shared" si="9"/>
        <v>0.3</v>
      </c>
      <c r="S34" s="41"/>
      <c r="T34" s="32" t="e">
        <f>(+'other  costs'!#REF!-'other  costs'!#REF!)/$K$3</f>
        <v>#REF!</v>
      </c>
      <c r="U34" s="32" t="e">
        <f>(+'other  costs'!#REF!-'other  costs'!#REF!)/$K$3</f>
        <v>#REF!</v>
      </c>
      <c r="V34" s="32" t="e">
        <f>(+'other  costs'!#REF!-'other  costs'!#REF!)/$K$3</f>
        <v>#REF!</v>
      </c>
      <c r="W34" s="33" t="e">
        <f>(+'other  costs'!#REF!-'other  costs'!#REF!)/$K$3</f>
        <v>#REF!</v>
      </c>
      <c r="X34" s="34" t="e">
        <f t="shared" si="7"/>
        <v>#REF!</v>
      </c>
      <c r="Y34" s="41"/>
      <c r="Z34" s="32" t="e">
        <f>(+'other  costs'!#REF!-'other  costs'!#REF!)/$K$3</f>
        <v>#REF!</v>
      </c>
      <c r="AA34" s="32" t="e">
        <f>(+'other  costs'!#REF!-'other  costs'!#REF!)/$K$3</f>
        <v>#REF!</v>
      </c>
      <c r="AB34" s="32" t="e">
        <f>(+'other  costs'!#REF!-'other  costs'!#REF!)/$K$3</f>
        <v>#REF!</v>
      </c>
      <c r="AC34" s="33" t="e">
        <f>(+'other  costs'!#REF!-'other  costs'!#REF!)/$K$3</f>
        <v>#REF!</v>
      </c>
      <c r="AD34" s="34" t="e">
        <f t="shared" si="11"/>
        <v>#REF!</v>
      </c>
      <c r="AE34" s="11"/>
      <c r="AG34" s="67"/>
    </row>
    <row r="35" spans="2:33" s="60" customFormat="1">
      <c r="B35" s="54"/>
      <c r="C35" s="99"/>
      <c r="D35" s="100"/>
      <c r="E35" s="100"/>
      <c r="R35" s="101"/>
      <c r="S35" s="102"/>
      <c r="X35" s="101"/>
      <c r="Y35" s="102"/>
      <c r="Z35" s="103"/>
      <c r="AD35" s="101"/>
      <c r="AE35" s="76"/>
    </row>
    <row r="36" spans="2:33" s="60" customFormat="1" ht="14" customHeight="1">
      <c r="B36" s="54"/>
      <c r="C36" s="55" t="s">
        <v>86</v>
      </c>
      <c r="D36" s="7"/>
      <c r="E36" s="27"/>
      <c r="F36" s="56" t="e">
        <f>+F18-F19-F25-F27</f>
        <v>#REF!</v>
      </c>
      <c r="G36" s="56" t="e">
        <f t="shared" ref="G36:Q36" si="12">+G18-G19-G25-G27</f>
        <v>#REF!</v>
      </c>
      <c r="H36" s="56" t="e">
        <f t="shared" si="12"/>
        <v>#REF!</v>
      </c>
      <c r="I36" s="56" t="e">
        <f t="shared" si="12"/>
        <v>#REF!</v>
      </c>
      <c r="J36" s="56" t="e">
        <f t="shared" si="12"/>
        <v>#REF!</v>
      </c>
      <c r="K36" s="56" t="e">
        <f t="shared" si="12"/>
        <v>#REF!</v>
      </c>
      <c r="L36" s="56" t="e">
        <f t="shared" si="12"/>
        <v>#REF!</v>
      </c>
      <c r="M36" s="56" t="e">
        <f t="shared" si="12"/>
        <v>#REF!</v>
      </c>
      <c r="N36" s="56" t="e">
        <f t="shared" si="12"/>
        <v>#REF!</v>
      </c>
      <c r="O36" s="56" t="e">
        <f t="shared" si="12"/>
        <v>#REF!</v>
      </c>
      <c r="P36" s="56" t="e">
        <f t="shared" si="12"/>
        <v>#REF!</v>
      </c>
      <c r="Q36" s="57" t="e">
        <f t="shared" si="12"/>
        <v>#REF!</v>
      </c>
      <c r="R36" s="104" t="e">
        <f t="shared" ref="R36:R41" si="13">SUM(F36:Q36)</f>
        <v>#REF!</v>
      </c>
      <c r="S36" s="31"/>
      <c r="T36" s="74" t="e">
        <f>+T18-T19-T25-T27</f>
        <v>#REF!</v>
      </c>
      <c r="U36" s="74" t="e">
        <f>+U18-U19-U25-U27</f>
        <v>#REF!</v>
      </c>
      <c r="V36" s="74" t="e">
        <f>+V18-V19-V25-V27</f>
        <v>#REF!</v>
      </c>
      <c r="W36" s="75" t="e">
        <f>+W18-W19-W25-W27</f>
        <v>#REF!</v>
      </c>
      <c r="X36" s="104" t="e">
        <f>+X18-X19-X25-X27</f>
        <v>#REF!</v>
      </c>
      <c r="Y36" s="31"/>
      <c r="Z36" s="74" t="e">
        <f>+Z18-Z19-Z25-Z27</f>
        <v>#REF!</v>
      </c>
      <c r="AA36" s="74" t="e">
        <f>+AA18-AA19-AA25-AA27</f>
        <v>#REF!</v>
      </c>
      <c r="AB36" s="74" t="e">
        <f>+AB18-AB19-AB25-AB27</f>
        <v>#REF!</v>
      </c>
      <c r="AC36" s="75" t="e">
        <f>+AC18-AC19-AC25-AC27</f>
        <v>#REF!</v>
      </c>
      <c r="AD36" s="104" t="e">
        <f>+AD18-AD19-AD25-AD27</f>
        <v>#REF!</v>
      </c>
      <c r="AE36" s="76"/>
    </row>
    <row r="37" spans="2:33" ht="12.75" customHeight="1">
      <c r="B37" s="6"/>
      <c r="C37" s="48" t="s">
        <v>65</v>
      </c>
      <c r="D37" s="27"/>
      <c r="E37" s="31"/>
      <c r="F37" s="105"/>
      <c r="G37" s="105"/>
      <c r="H37" s="105"/>
      <c r="I37" s="105"/>
      <c r="J37" s="105"/>
      <c r="K37" s="105"/>
      <c r="L37" s="105"/>
      <c r="M37" s="105"/>
      <c r="N37" s="105"/>
      <c r="O37" s="105"/>
      <c r="P37" s="105"/>
      <c r="Q37" s="106"/>
      <c r="R37" s="107">
        <f t="shared" si="13"/>
        <v>0</v>
      </c>
      <c r="S37" s="31"/>
      <c r="T37" s="105"/>
      <c r="U37" s="105"/>
      <c r="V37" s="105"/>
      <c r="W37" s="106"/>
      <c r="X37" s="107">
        <f>SUM(T37:W37)</f>
        <v>0</v>
      </c>
      <c r="Y37" s="31"/>
      <c r="Z37" s="105"/>
      <c r="AA37" s="105"/>
      <c r="AB37" s="105"/>
      <c r="AC37" s="106"/>
      <c r="AD37" s="107">
        <f>SUM(Z37:AC37)</f>
        <v>0</v>
      </c>
      <c r="AE37" s="11"/>
    </row>
    <row r="38" spans="2:33" ht="12.75" customHeight="1">
      <c r="B38" s="6"/>
      <c r="C38" s="88" t="s">
        <v>66</v>
      </c>
      <c r="D38" s="27"/>
      <c r="E38" s="31"/>
      <c r="F38" s="28"/>
      <c r="G38" s="28"/>
      <c r="H38" s="28"/>
      <c r="I38" s="28"/>
      <c r="J38" s="28"/>
      <c r="K38" s="28"/>
      <c r="L38" s="28"/>
      <c r="M38" s="28"/>
      <c r="N38" s="28"/>
      <c r="O38" s="28"/>
      <c r="P38" s="28"/>
      <c r="Q38" s="29"/>
      <c r="R38" s="30">
        <f t="shared" si="13"/>
        <v>0</v>
      </c>
      <c r="S38" s="31"/>
      <c r="T38" s="28"/>
      <c r="U38" s="28"/>
      <c r="V38" s="28"/>
      <c r="W38" s="29"/>
      <c r="X38" s="30">
        <f>SUM(T38:W38)</f>
        <v>0</v>
      </c>
      <c r="Y38" s="31"/>
      <c r="Z38" s="28"/>
      <c r="AA38" s="28"/>
      <c r="AB38" s="28"/>
      <c r="AC38" s="29"/>
      <c r="AD38" s="30">
        <f>SUM(Z38:AC38)</f>
        <v>0</v>
      </c>
      <c r="AE38" s="11"/>
    </row>
    <row r="39" spans="2:33" ht="12.75" customHeight="1">
      <c r="B39" s="6"/>
      <c r="C39" s="88" t="s">
        <v>67</v>
      </c>
      <c r="D39" s="27"/>
      <c r="E39" s="31"/>
      <c r="F39" s="28"/>
      <c r="G39" s="28"/>
      <c r="H39" s="28"/>
      <c r="I39" s="28"/>
      <c r="J39" s="28"/>
      <c r="K39" s="28"/>
      <c r="L39" s="28"/>
      <c r="M39" s="28"/>
      <c r="N39" s="28"/>
      <c r="O39" s="28"/>
      <c r="P39" s="28"/>
      <c r="Q39" s="29"/>
      <c r="R39" s="30">
        <f t="shared" si="13"/>
        <v>0</v>
      </c>
      <c r="S39" s="31"/>
      <c r="T39" s="28"/>
      <c r="U39" s="28"/>
      <c r="V39" s="28"/>
      <c r="W39" s="29"/>
      <c r="X39" s="30">
        <f>SUM(T39:W39)</f>
        <v>0</v>
      </c>
      <c r="Y39" s="31"/>
      <c r="Z39" s="28"/>
      <c r="AA39" s="28"/>
      <c r="AB39" s="28"/>
      <c r="AC39" s="29"/>
      <c r="AD39" s="30">
        <f>SUM(Z39:AC39)</f>
        <v>0</v>
      </c>
      <c r="AE39" s="11"/>
    </row>
    <row r="40" spans="2:33" ht="12.75" customHeight="1">
      <c r="B40" s="6"/>
      <c r="C40" s="88" t="s">
        <v>68</v>
      </c>
      <c r="D40" s="27"/>
      <c r="E40" s="31"/>
      <c r="F40" s="28"/>
      <c r="G40" s="28"/>
      <c r="H40" s="28"/>
      <c r="I40" s="28"/>
      <c r="J40" s="28"/>
      <c r="K40" s="28"/>
      <c r="L40" s="28"/>
      <c r="M40" s="28"/>
      <c r="N40" s="28"/>
      <c r="O40" s="28"/>
      <c r="P40" s="28"/>
      <c r="Q40" s="29"/>
      <c r="R40" s="30">
        <f t="shared" si="13"/>
        <v>0</v>
      </c>
      <c r="S40" s="31"/>
      <c r="T40" s="28"/>
      <c r="U40" s="108"/>
      <c r="V40" s="108"/>
      <c r="W40" s="109"/>
      <c r="X40" s="110">
        <f>SUM(T40:W40)</f>
        <v>0</v>
      </c>
      <c r="Y40" s="31"/>
      <c r="Z40" s="28"/>
      <c r="AA40" s="108"/>
      <c r="AB40" s="108"/>
      <c r="AC40" s="109"/>
      <c r="AD40" s="110">
        <f>SUM(Z40:AC40)</f>
        <v>0</v>
      </c>
      <c r="AE40" s="11"/>
    </row>
    <row r="41" spans="2:33" ht="12" customHeight="1">
      <c r="B41" s="6"/>
      <c r="C41" s="88" t="s">
        <v>69</v>
      </c>
      <c r="D41" s="27"/>
      <c r="E41" s="64"/>
      <c r="F41" s="32">
        <f>+Interest_Redemption!G38</f>
        <v>8.2916666666666666E-2</v>
      </c>
      <c r="G41" s="32">
        <f>+Interest_Redemption!H38</f>
        <v>8.2083333333333328E-2</v>
      </c>
      <c r="H41" s="32">
        <f>+Interest_Redemption!I38</f>
        <v>8.1250000000000003E-2</v>
      </c>
      <c r="I41" s="32">
        <f>+Interest_Redemption!J38</f>
        <v>8.0416666666666664E-2</v>
      </c>
      <c r="J41" s="32">
        <f>+Interest_Redemption!K38</f>
        <v>7.9583333333333339E-2</v>
      </c>
      <c r="K41" s="32">
        <f>+Interest_Redemption!L38</f>
        <v>7.8750000000000001E-2</v>
      </c>
      <c r="L41" s="32">
        <f>+Interest_Redemption!M38</f>
        <v>7.7916666666666676E-2</v>
      </c>
      <c r="M41" s="32">
        <f>+Interest_Redemption!N38</f>
        <v>7.7083333333333337E-2</v>
      </c>
      <c r="N41" s="32">
        <f>+Interest_Redemption!O38</f>
        <v>7.6250000000000012E-2</v>
      </c>
      <c r="O41" s="32">
        <f>+Interest_Redemption!P38</f>
        <v>7.541666666666666E-2</v>
      </c>
      <c r="P41" s="32">
        <f>+Interest_Redemption!Q38</f>
        <v>7.4583333333333335E-2</v>
      </c>
      <c r="Q41" s="33">
        <f>+Interest_Redemption!R38</f>
        <v>7.3749999999999996E-2</v>
      </c>
      <c r="R41" s="94">
        <f t="shared" si="13"/>
        <v>0.94</v>
      </c>
      <c r="S41" s="41"/>
      <c r="T41" s="32">
        <f>+Interest_Redemption!T38</f>
        <v>0.21624999999999997</v>
      </c>
      <c r="U41" s="32">
        <f>+Interest_Redemption!U38</f>
        <v>0.20874999999999999</v>
      </c>
      <c r="V41" s="32">
        <f>+Interest_Redemption!V38</f>
        <v>0.20125000000000004</v>
      </c>
      <c r="W41" s="33">
        <f>+Interest_Redemption!W38</f>
        <v>0.19375000000000001</v>
      </c>
      <c r="X41" s="34">
        <f>SUM(T41:W41)</f>
        <v>0.82</v>
      </c>
      <c r="Y41" s="41"/>
      <c r="Z41" s="32">
        <f>+Interest_Redemption!Z38</f>
        <v>0.17875000000000002</v>
      </c>
      <c r="AA41" s="32">
        <f>+Interest_Redemption!AA38</f>
        <v>0.17125000000000001</v>
      </c>
      <c r="AB41" s="32">
        <f>+Interest_Redemption!AB38</f>
        <v>0.16375000000000001</v>
      </c>
      <c r="AC41" s="33">
        <f>+Interest_Redemption!AC38</f>
        <v>0</v>
      </c>
      <c r="AD41" s="34">
        <f>SUM(Z41:AC41)</f>
        <v>0.51375000000000004</v>
      </c>
      <c r="AE41" s="11"/>
      <c r="AG41" s="67"/>
    </row>
    <row r="42" spans="2:33" ht="12.75" customHeight="1">
      <c r="B42" s="6"/>
      <c r="C42" s="55" t="s">
        <v>70</v>
      </c>
      <c r="E42" s="27"/>
      <c r="F42" s="56">
        <f>+F37+F38+F39+-F40-F41</f>
        <v>-8.2916666666666666E-2</v>
      </c>
      <c r="G42" s="56">
        <f t="shared" ref="G42:R42" si="14">+G37+G38+G39+-G40-G41</f>
        <v>-8.2083333333333328E-2</v>
      </c>
      <c r="H42" s="56">
        <f t="shared" si="14"/>
        <v>-8.1250000000000003E-2</v>
      </c>
      <c r="I42" s="56">
        <f t="shared" si="14"/>
        <v>-8.0416666666666664E-2</v>
      </c>
      <c r="J42" s="56">
        <f t="shared" si="14"/>
        <v>-7.9583333333333339E-2</v>
      </c>
      <c r="K42" s="56">
        <f t="shared" si="14"/>
        <v>-7.8750000000000001E-2</v>
      </c>
      <c r="L42" s="56">
        <f t="shared" si="14"/>
        <v>-7.7916666666666676E-2</v>
      </c>
      <c r="M42" s="56">
        <f t="shared" si="14"/>
        <v>-7.7083333333333337E-2</v>
      </c>
      <c r="N42" s="56">
        <f t="shared" si="14"/>
        <v>-7.6250000000000012E-2</v>
      </c>
      <c r="O42" s="56">
        <f t="shared" si="14"/>
        <v>-7.541666666666666E-2</v>
      </c>
      <c r="P42" s="56">
        <f t="shared" si="14"/>
        <v>-7.4583333333333335E-2</v>
      </c>
      <c r="Q42" s="57">
        <f t="shared" si="14"/>
        <v>-7.3749999999999996E-2</v>
      </c>
      <c r="R42" s="104">
        <f t="shared" si="14"/>
        <v>-0.94</v>
      </c>
      <c r="S42" s="31"/>
      <c r="T42" s="74">
        <f>+T37+T38+T39+-T40-T41</f>
        <v>-0.21624999999999997</v>
      </c>
      <c r="U42" s="74">
        <f>+U37+U38+U39+-U40-U41</f>
        <v>-0.20874999999999999</v>
      </c>
      <c r="V42" s="74">
        <f>+V37+V38+V39+-V40-V41</f>
        <v>-0.20125000000000004</v>
      </c>
      <c r="W42" s="75">
        <f>+W37+W38+W39+-W40-W41</f>
        <v>-0.19375000000000001</v>
      </c>
      <c r="X42" s="104">
        <f>+X37+X38+X39+-X40-X41</f>
        <v>-0.82</v>
      </c>
      <c r="Y42" s="31"/>
      <c r="Z42" s="74">
        <f>+Z37+Z38+Z39+-Z40-Z41</f>
        <v>-0.17875000000000002</v>
      </c>
      <c r="AA42" s="74">
        <f>+AA37+AA38+AA39+-AA40-AA41</f>
        <v>-0.17125000000000001</v>
      </c>
      <c r="AB42" s="74">
        <f>+AB37+AB38+AB39+-AB40-AB41</f>
        <v>-0.16375000000000001</v>
      </c>
      <c r="AC42" s="75">
        <f>+AC37+AC38+AC39+-AC40-AC41</f>
        <v>0</v>
      </c>
      <c r="AD42" s="104">
        <f>+AD37+AD38+AD39+-AD40-AD41</f>
        <v>-0.51375000000000004</v>
      </c>
      <c r="AE42" s="11"/>
    </row>
    <row r="43" spans="2:33" ht="15" customHeight="1">
      <c r="B43" s="111"/>
      <c r="C43" s="112"/>
      <c r="D43" s="27"/>
      <c r="E43" s="27"/>
      <c r="R43" s="113"/>
      <c r="S43" s="31"/>
      <c r="X43" s="113"/>
      <c r="Y43" s="31"/>
      <c r="Z43" s="89"/>
      <c r="AD43" s="113"/>
      <c r="AE43" s="11"/>
    </row>
    <row r="44" spans="2:33" s="60" customFormat="1" ht="17" customHeight="1">
      <c r="B44" s="114"/>
      <c r="C44" s="55" t="s">
        <v>87</v>
      </c>
      <c r="D44" s="7"/>
      <c r="E44" s="27"/>
      <c r="F44" s="56" t="e">
        <f>+F36+F42</f>
        <v>#REF!</v>
      </c>
      <c r="G44" s="56" t="e">
        <f t="shared" ref="G44:R44" si="15">+G36+G42</f>
        <v>#REF!</v>
      </c>
      <c r="H44" s="56" t="e">
        <f t="shared" si="15"/>
        <v>#REF!</v>
      </c>
      <c r="I44" s="56" t="e">
        <f t="shared" si="15"/>
        <v>#REF!</v>
      </c>
      <c r="J44" s="56" t="e">
        <f t="shared" si="15"/>
        <v>#REF!</v>
      </c>
      <c r="K44" s="56" t="e">
        <f t="shared" si="15"/>
        <v>#REF!</v>
      </c>
      <c r="L44" s="56" t="e">
        <f t="shared" si="15"/>
        <v>#REF!</v>
      </c>
      <c r="M44" s="56" t="e">
        <f t="shared" si="15"/>
        <v>#REF!</v>
      </c>
      <c r="N44" s="56" t="e">
        <f t="shared" si="15"/>
        <v>#REF!</v>
      </c>
      <c r="O44" s="56" t="e">
        <f t="shared" si="15"/>
        <v>#REF!</v>
      </c>
      <c r="P44" s="56" t="e">
        <f t="shared" si="15"/>
        <v>#REF!</v>
      </c>
      <c r="Q44" s="57" t="e">
        <f t="shared" si="15"/>
        <v>#REF!</v>
      </c>
      <c r="R44" s="104" t="e">
        <f t="shared" si="15"/>
        <v>#REF!</v>
      </c>
      <c r="S44" s="31"/>
      <c r="T44" s="74" t="e">
        <f>+T36+T42</f>
        <v>#REF!</v>
      </c>
      <c r="U44" s="74" t="e">
        <f>+U36+U42</f>
        <v>#REF!</v>
      </c>
      <c r="V44" s="74" t="e">
        <f>+V36+V42</f>
        <v>#REF!</v>
      </c>
      <c r="W44" s="75" t="e">
        <f>+W36+W42</f>
        <v>#REF!</v>
      </c>
      <c r="X44" s="75" t="e">
        <f>+X36+X42</f>
        <v>#REF!</v>
      </c>
      <c r="Y44" s="31"/>
      <c r="Z44" s="74" t="e">
        <f>+Z36+Z42</f>
        <v>#REF!</v>
      </c>
      <c r="AA44" s="74" t="e">
        <f>+AA36+AA42</f>
        <v>#REF!</v>
      </c>
      <c r="AB44" s="74" t="e">
        <f>+AB36+AB42</f>
        <v>#REF!</v>
      </c>
      <c r="AC44" s="75" t="e">
        <f>+AC36+AC42</f>
        <v>#REF!</v>
      </c>
      <c r="AD44" s="104" t="e">
        <f>+AD36+AD42</f>
        <v>#REF!</v>
      </c>
      <c r="AE44" s="76"/>
    </row>
    <row r="45" spans="2:33" ht="15.75" customHeight="1">
      <c r="B45" s="111"/>
      <c r="C45" s="48" t="s">
        <v>72</v>
      </c>
      <c r="D45" s="27"/>
      <c r="E45" s="27"/>
      <c r="F45" s="115"/>
      <c r="G45" s="115"/>
      <c r="H45" s="115"/>
      <c r="I45" s="115"/>
      <c r="J45" s="115"/>
      <c r="K45" s="115"/>
      <c r="L45" s="115"/>
      <c r="M45" s="115"/>
      <c r="N45" s="115"/>
      <c r="O45" s="115"/>
      <c r="P45" s="115"/>
      <c r="Q45" s="116"/>
      <c r="R45" s="94">
        <f>SUM(F45:Q45)</f>
        <v>0</v>
      </c>
      <c r="S45" s="31"/>
      <c r="T45" s="115"/>
      <c r="U45" s="115"/>
      <c r="V45" s="115"/>
      <c r="W45" s="116"/>
      <c r="X45" s="94"/>
      <c r="Y45" s="31"/>
      <c r="Z45" s="115"/>
      <c r="AA45" s="115"/>
      <c r="AB45" s="115"/>
      <c r="AC45" s="116"/>
      <c r="AD45" s="117"/>
      <c r="AE45" s="11"/>
    </row>
    <row r="46" spans="2:33" ht="12.75" customHeight="1">
      <c r="B46" s="6"/>
      <c r="C46" s="52" t="s">
        <v>71</v>
      </c>
      <c r="D46" s="27"/>
      <c r="E46" s="27"/>
      <c r="F46" s="118"/>
      <c r="G46" s="118"/>
      <c r="H46" s="118"/>
      <c r="I46" s="118"/>
      <c r="J46" s="118"/>
      <c r="K46" s="118"/>
      <c r="L46" s="118"/>
      <c r="M46" s="118"/>
      <c r="N46" s="118"/>
      <c r="O46" s="118"/>
      <c r="P46" s="118"/>
      <c r="Q46" s="95"/>
      <c r="R46" s="94">
        <f>SUM(F46:Q46)</f>
        <v>0</v>
      </c>
      <c r="S46" s="31"/>
      <c r="T46" s="118"/>
      <c r="U46" s="118"/>
      <c r="V46" s="118"/>
      <c r="W46" s="95"/>
      <c r="X46" s="94"/>
      <c r="Y46" s="31"/>
      <c r="Z46" s="118"/>
      <c r="AA46" s="118"/>
      <c r="AB46" s="118"/>
      <c r="AC46" s="95"/>
      <c r="AD46" s="119"/>
      <c r="AE46" s="11"/>
    </row>
    <row r="47" spans="2:33" ht="14" customHeight="1">
      <c r="B47" s="6"/>
      <c r="C47" s="55" t="s">
        <v>73</v>
      </c>
      <c r="E47" s="27"/>
      <c r="F47" s="56">
        <f>+F45-F46</f>
        <v>0</v>
      </c>
      <c r="G47" s="56">
        <f t="shared" ref="G47:R47" si="16">+G45-G46</f>
        <v>0</v>
      </c>
      <c r="H47" s="56">
        <f t="shared" si="16"/>
        <v>0</v>
      </c>
      <c r="I47" s="56">
        <f t="shared" si="16"/>
        <v>0</v>
      </c>
      <c r="J47" s="56">
        <f t="shared" si="16"/>
        <v>0</v>
      </c>
      <c r="K47" s="56">
        <f t="shared" si="16"/>
        <v>0</v>
      </c>
      <c r="L47" s="56">
        <f t="shared" si="16"/>
        <v>0</v>
      </c>
      <c r="M47" s="56">
        <f t="shared" si="16"/>
        <v>0</v>
      </c>
      <c r="N47" s="56">
        <f t="shared" si="16"/>
        <v>0</v>
      </c>
      <c r="O47" s="56">
        <f t="shared" si="16"/>
        <v>0</v>
      </c>
      <c r="P47" s="56">
        <f t="shared" si="16"/>
        <v>0</v>
      </c>
      <c r="Q47" s="57">
        <f t="shared" si="16"/>
        <v>0</v>
      </c>
      <c r="R47" s="104">
        <f t="shared" si="16"/>
        <v>0</v>
      </c>
      <c r="S47" s="31"/>
      <c r="T47" s="74">
        <f>+T45-T46</f>
        <v>0</v>
      </c>
      <c r="U47" s="74">
        <f>+U45-U46</f>
        <v>0</v>
      </c>
      <c r="V47" s="74">
        <f>+V45-V46</f>
        <v>0</v>
      </c>
      <c r="W47" s="74">
        <f>+W45-W46</f>
        <v>0</v>
      </c>
      <c r="X47" s="74">
        <f>+X45-X46</f>
        <v>0</v>
      </c>
      <c r="Y47" s="31"/>
      <c r="Z47" s="74">
        <f>+Z45-Z46</f>
        <v>0</v>
      </c>
      <c r="AA47" s="74">
        <f>+AA45-AA46</f>
        <v>0</v>
      </c>
      <c r="AB47" s="74">
        <f>+AB45-AB46</f>
        <v>0</v>
      </c>
      <c r="AC47" s="75">
        <f>+AC45-AC46</f>
        <v>0</v>
      </c>
      <c r="AD47" s="104">
        <f>+AD45-AD46</f>
        <v>0</v>
      </c>
      <c r="AE47" s="11"/>
    </row>
    <row r="48" spans="2:33" ht="15" customHeight="1">
      <c r="B48" s="6"/>
      <c r="C48" s="112"/>
      <c r="D48" s="27"/>
      <c r="E48" s="27"/>
      <c r="R48" s="113"/>
      <c r="S48" s="31"/>
      <c r="X48" s="113"/>
      <c r="Y48" s="31"/>
      <c r="Z48" s="89"/>
      <c r="AD48" s="113"/>
      <c r="AE48" s="11"/>
    </row>
    <row r="49" spans="2:32" s="60" customFormat="1" ht="18" customHeight="1" thickBot="1">
      <c r="B49" s="54"/>
      <c r="C49" s="55" t="s">
        <v>74</v>
      </c>
      <c r="D49" s="7"/>
      <c r="E49" s="27"/>
      <c r="F49" s="56" t="e">
        <f>+F44+F47</f>
        <v>#REF!</v>
      </c>
      <c r="G49" s="56" t="e">
        <f t="shared" ref="G49:R49" si="17">+G44+G47</f>
        <v>#REF!</v>
      </c>
      <c r="H49" s="56" t="e">
        <f t="shared" si="17"/>
        <v>#REF!</v>
      </c>
      <c r="I49" s="56" t="e">
        <f t="shared" si="17"/>
        <v>#REF!</v>
      </c>
      <c r="J49" s="56" t="e">
        <f t="shared" si="17"/>
        <v>#REF!</v>
      </c>
      <c r="K49" s="56" t="e">
        <f t="shared" si="17"/>
        <v>#REF!</v>
      </c>
      <c r="L49" s="56" t="e">
        <f t="shared" si="17"/>
        <v>#REF!</v>
      </c>
      <c r="M49" s="56" t="e">
        <f t="shared" si="17"/>
        <v>#REF!</v>
      </c>
      <c r="N49" s="56" t="e">
        <f t="shared" si="17"/>
        <v>#REF!</v>
      </c>
      <c r="O49" s="56" t="e">
        <f t="shared" si="17"/>
        <v>#REF!</v>
      </c>
      <c r="P49" s="56" t="e">
        <f t="shared" si="17"/>
        <v>#REF!</v>
      </c>
      <c r="Q49" s="57" t="e">
        <f t="shared" si="17"/>
        <v>#REF!</v>
      </c>
      <c r="R49" s="120" t="e">
        <f t="shared" si="17"/>
        <v>#REF!</v>
      </c>
      <c r="S49" s="31"/>
      <c r="T49" s="74" t="e">
        <f>+T44+T47</f>
        <v>#REF!</v>
      </c>
      <c r="U49" s="74" t="e">
        <f>+U44+U47</f>
        <v>#REF!</v>
      </c>
      <c r="V49" s="74" t="e">
        <f>+V44+V47</f>
        <v>#REF!</v>
      </c>
      <c r="W49" s="75" t="e">
        <f>+W44+W47</f>
        <v>#REF!</v>
      </c>
      <c r="X49" s="120" t="e">
        <f>+X44+X47</f>
        <v>#REF!</v>
      </c>
      <c r="Y49" s="31"/>
      <c r="Z49" s="74" t="e">
        <f>+Z44+Z47</f>
        <v>#REF!</v>
      </c>
      <c r="AA49" s="74" t="e">
        <f>+AA44+AA47</f>
        <v>#REF!</v>
      </c>
      <c r="AB49" s="74" t="e">
        <f>+AB44+AB47</f>
        <v>#REF!</v>
      </c>
      <c r="AC49" s="75" t="e">
        <f>+AC44+AC47</f>
        <v>#REF!</v>
      </c>
      <c r="AD49" s="120" t="e">
        <f>+AD44+AD47</f>
        <v>#REF!</v>
      </c>
      <c r="AE49" s="76"/>
    </row>
    <row r="50" spans="2:32">
      <c r="B50" s="121"/>
      <c r="C50" s="122"/>
      <c r="D50" s="122"/>
      <c r="E50" s="123"/>
      <c r="F50" s="123"/>
      <c r="G50" s="123"/>
      <c r="H50" s="123"/>
      <c r="I50" s="123"/>
      <c r="J50" s="123"/>
      <c r="K50" s="123"/>
      <c r="L50" s="123"/>
      <c r="M50" s="123"/>
      <c r="N50" s="123"/>
      <c r="O50" s="123"/>
      <c r="P50" s="123"/>
      <c r="Q50" s="123"/>
      <c r="R50" s="123"/>
      <c r="S50" s="123"/>
      <c r="T50" s="123"/>
      <c r="U50" s="123"/>
      <c r="V50" s="123"/>
      <c r="W50" s="123"/>
      <c r="X50" s="123"/>
      <c r="Y50" s="124"/>
      <c r="Z50" s="123"/>
      <c r="AA50" s="123"/>
      <c r="AB50" s="123"/>
      <c r="AC50" s="123"/>
      <c r="AD50" s="123"/>
      <c r="AE50" s="125"/>
    </row>
    <row r="51" spans="2:32">
      <c r="D51" s="126"/>
    </row>
    <row r="52" spans="2:32" ht="12.75" customHeight="1">
      <c r="E52" s="72"/>
      <c r="F52" s="195"/>
      <c r="G52" s="72"/>
      <c r="H52" s="72"/>
      <c r="I52" s="72"/>
      <c r="J52" s="72"/>
      <c r="K52" s="72"/>
      <c r="L52" s="72"/>
      <c r="M52" s="72"/>
      <c r="N52" s="72"/>
      <c r="O52" s="72"/>
      <c r="P52" s="72"/>
      <c r="Q52" s="72"/>
      <c r="R52" s="72"/>
      <c r="S52" s="72"/>
      <c r="T52" s="72"/>
      <c r="U52" s="72"/>
      <c r="V52" s="72"/>
      <c r="W52" s="72"/>
      <c r="X52" s="72"/>
      <c r="Y52" s="127"/>
      <c r="Z52" s="72"/>
      <c r="AA52" s="72"/>
      <c r="AB52" s="72"/>
      <c r="AC52" s="72"/>
      <c r="AD52" s="72"/>
      <c r="AE52" s="72"/>
      <c r="AF52" s="72"/>
    </row>
    <row r="53" spans="2:32" s="128" customFormat="1" ht="24" customHeight="1">
      <c r="C53" s="1228"/>
      <c r="D53" s="1228"/>
      <c r="E53" s="129"/>
      <c r="F53" s="129"/>
      <c r="G53" s="129"/>
      <c r="H53" s="129"/>
      <c r="I53" s="129"/>
      <c r="J53" s="129"/>
      <c r="K53" s="129"/>
      <c r="L53" s="129"/>
      <c r="M53" s="129"/>
      <c r="N53" s="129"/>
      <c r="O53" s="129"/>
      <c r="P53" s="129"/>
      <c r="Q53" s="129"/>
      <c r="R53" s="129"/>
      <c r="S53" s="129"/>
      <c r="T53" s="129"/>
      <c r="U53" s="129"/>
      <c r="V53" s="129"/>
      <c r="W53" s="129"/>
      <c r="X53" s="129"/>
      <c r="Y53" s="130"/>
      <c r="Z53" s="129"/>
      <c r="AA53" s="129"/>
      <c r="AB53" s="129"/>
      <c r="AC53" s="129"/>
      <c r="AD53" s="129"/>
      <c r="AE53" s="129"/>
      <c r="AF53" s="129"/>
    </row>
    <row r="54" spans="2:32">
      <c r="F54" s="72"/>
      <c r="G54" s="72"/>
      <c r="H54" s="72"/>
      <c r="I54" s="72"/>
      <c r="J54" s="72"/>
      <c r="K54" s="72"/>
      <c r="L54" s="72"/>
      <c r="M54" s="72"/>
      <c r="N54" s="72"/>
      <c r="O54" s="72"/>
      <c r="P54" s="72"/>
      <c r="Q54" s="72"/>
      <c r="R54" s="72"/>
      <c r="S54" s="72"/>
      <c r="T54" s="72"/>
      <c r="U54" s="72"/>
      <c r="V54" s="72"/>
      <c r="W54" s="72"/>
      <c r="X54" s="72"/>
      <c r="Z54" s="72"/>
      <c r="AA54" s="72"/>
      <c r="AB54" s="72"/>
      <c r="AC54" s="72"/>
      <c r="AD54" s="72"/>
    </row>
    <row r="55" spans="2:32">
      <c r="F55" s="131"/>
      <c r="G55" s="131"/>
      <c r="H55" s="131"/>
      <c r="I55" s="131"/>
      <c r="J55" s="131"/>
      <c r="K55" s="131"/>
      <c r="L55" s="131"/>
      <c r="M55" s="131"/>
      <c r="N55" s="131"/>
      <c r="O55" s="131"/>
      <c r="P55" s="131"/>
      <c r="Q55" s="131"/>
      <c r="R55" s="131"/>
    </row>
  </sheetData>
  <mergeCells count="6">
    <mergeCell ref="Z5:AC5"/>
    <mergeCell ref="K3:L3"/>
    <mergeCell ref="B2:AE2"/>
    <mergeCell ref="C53:D53"/>
    <mergeCell ref="F5:Q5"/>
    <mergeCell ref="T5:W5"/>
  </mergeCells>
  <phoneticPr fontId="6" type="noConversion"/>
  <printOptions horizontalCentered="1"/>
  <pageMargins left="0.2" right="0.2" top="0.2" bottom="0.35000000000000003" header="0.2" footer="0.2"/>
  <pageSetup paperSize="9" scale="82" fitToHeight="2" orientation="landscape" horizontalDpi="4294967292" verticalDpi="4294967292"/>
  <headerFooter>
    <oddFooter>&amp;L&amp;"Arial,Standard"Business Case&amp;C&amp;"Arial,Standard"&amp;F&amp;R&amp;"Arial,Standard"&amp;D 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BM75"/>
  <sheetViews>
    <sheetView showGridLines="0" zoomScale="160" zoomScaleNormal="160" zoomScaleSheetLayoutView="100" zoomScalePageLayoutView="125" workbookViewId="0">
      <pane xSplit="5" ySplit="7" topLeftCell="F8" activePane="bottomRight" state="frozen"/>
      <selection pane="topRight" activeCell="G1" sqref="G1"/>
      <selection pane="bottomLeft" activeCell="A8" sqref="A8"/>
      <selection pane="bottomRight" activeCell="D26" sqref="D26"/>
    </sheetView>
  </sheetViews>
  <sheetFormatPr baseColWidth="10" defaultColWidth="11.796875" defaultRowHeight="12" outlineLevelRow="1" outlineLevelCol="1"/>
  <cols>
    <col min="1" max="1" width="2.19921875" style="371" customWidth="1"/>
    <col min="2" max="2" width="2" style="371" customWidth="1"/>
    <col min="3" max="3" width="48.3984375" style="374" hidden="1" customWidth="1"/>
    <col min="4" max="4" width="44.59765625" style="374" customWidth="1"/>
    <col min="5" max="5" width="1.796875" style="374" customWidth="1"/>
    <col min="6" max="8" width="6.796875" style="371" customWidth="1" outlineLevel="1"/>
    <col min="9" max="10" width="6.796875" style="371" customWidth="1"/>
    <col min="11" max="11" width="6.796875" style="380" hidden="1" customWidth="1"/>
    <col min="12" max="14" width="6.796875" style="371" customWidth="1" outlineLevel="1"/>
    <col min="15" max="15" width="8.3984375" style="371" customWidth="1"/>
    <col min="16" max="16" width="6.796875" style="371" customWidth="1"/>
    <col min="17" max="17" width="6.796875" style="380" hidden="1" customWidth="1"/>
    <col min="18" max="18" width="6.796875" style="371" customWidth="1" outlineLevel="1"/>
    <col min="19" max="19" width="7.3984375" style="371" customWidth="1" outlineLevel="1"/>
    <col min="20" max="20" width="6.3984375" style="371" customWidth="1" outlineLevel="1"/>
    <col min="21" max="21" width="7.796875" style="371" customWidth="1"/>
    <col min="22" max="22" width="6.796875" style="371" customWidth="1"/>
    <col min="23" max="23" width="6.796875" style="380" hidden="1" customWidth="1"/>
    <col min="24" max="26" width="7.3984375" style="371" customWidth="1" outlineLevel="1"/>
    <col min="27" max="27" width="8.19921875" style="371" customWidth="1"/>
    <col min="28" max="28" width="6.796875" style="371" customWidth="1"/>
    <col min="29" max="29" width="6.796875" style="380" hidden="1" customWidth="1"/>
    <col min="30" max="30" width="9" style="371" customWidth="1"/>
    <col min="31" max="31" width="7.19921875" style="371" customWidth="1"/>
    <col min="32" max="32" width="8.3984375" style="371" customWidth="1"/>
    <col min="33" max="33" width="1.19921875" style="371" customWidth="1"/>
    <col min="34" max="38" width="7.796875" style="371" customWidth="1"/>
    <col min="39" max="39" width="1.19921875" style="371" customWidth="1"/>
    <col min="40" max="44" width="7.796875" style="371" customWidth="1"/>
    <col min="45" max="45" width="1.796875" style="371" customWidth="1"/>
    <col min="46" max="16384" width="11.796875" style="371"/>
  </cols>
  <sheetData>
    <row r="2" spans="2:48" ht="18.75" customHeight="1">
      <c r="B2" s="779"/>
      <c r="C2" s="779" t="s">
        <v>327</v>
      </c>
      <c r="D2" s="779" t="s">
        <v>47</v>
      </c>
      <c r="E2" s="780"/>
      <c r="F2" s="780"/>
      <c r="G2" s="780"/>
      <c r="H2" s="780"/>
      <c r="I2" s="780"/>
      <c r="J2" s="780"/>
      <c r="K2" s="781"/>
      <c r="L2" s="780"/>
      <c r="M2" s="780"/>
      <c r="N2" s="780"/>
      <c r="O2" s="780"/>
      <c r="P2" s="780"/>
      <c r="Q2" s="781"/>
      <c r="R2" s="780"/>
      <c r="S2" s="780"/>
      <c r="T2" s="780"/>
      <c r="U2" s="780"/>
      <c r="V2" s="780"/>
      <c r="W2" s="781"/>
      <c r="X2" s="780"/>
      <c r="Y2" s="780"/>
      <c r="Z2" s="780"/>
      <c r="AA2" s="780"/>
      <c r="AB2" s="780"/>
      <c r="AC2" s="781"/>
      <c r="AD2" s="780"/>
      <c r="AE2" s="780"/>
      <c r="AF2" s="780"/>
      <c r="AG2" s="780"/>
      <c r="AH2" s="780"/>
      <c r="AI2" s="780"/>
      <c r="AJ2" s="780"/>
      <c r="AK2" s="780"/>
      <c r="AL2" s="780"/>
      <c r="AM2" s="780"/>
      <c r="AN2" s="780"/>
      <c r="AO2" s="780"/>
      <c r="AP2" s="780"/>
      <c r="AQ2" s="780"/>
      <c r="AR2" s="780"/>
      <c r="AS2" s="782"/>
    </row>
    <row r="3" spans="2:48">
      <c r="B3" s="372"/>
      <c r="C3" s="373" t="str">
        <f>+Parameter!$D$4&amp;", "&amp;Parameter!$D$15</f>
        <v>company name, Location</v>
      </c>
      <c r="D3" s="373" t="str">
        <f>+Parameter!$D$4&amp;", "&amp;Parameter!$D$15</f>
        <v>company name, Location</v>
      </c>
      <c r="H3" s="817"/>
      <c r="I3" s="818"/>
      <c r="J3" s="818"/>
      <c r="K3" s="819" t="s">
        <v>276</v>
      </c>
      <c r="L3" s="818"/>
      <c r="M3" s="819" t="s">
        <v>28</v>
      </c>
      <c r="N3" s="1232">
        <f>+Parameter!D23</f>
        <v>1000</v>
      </c>
      <c r="O3" s="1232"/>
      <c r="P3" s="818" t="s">
        <v>257</v>
      </c>
      <c r="Q3" s="820"/>
      <c r="R3" s="821"/>
      <c r="S3" s="375"/>
      <c r="T3" s="375"/>
      <c r="U3" s="376"/>
      <c r="V3" s="376"/>
      <c r="W3" s="377"/>
      <c r="X3" s="375"/>
      <c r="Y3" s="375"/>
      <c r="Z3" s="375"/>
      <c r="AA3" s="376"/>
      <c r="AB3" s="376"/>
      <c r="AC3" s="377"/>
      <c r="AD3" s="375"/>
      <c r="AE3" s="375"/>
      <c r="AF3" s="375"/>
      <c r="AH3" s="613"/>
      <c r="AI3" s="613"/>
      <c r="AJ3" s="613"/>
      <c r="AK3" s="613"/>
      <c r="AL3" s="613"/>
      <c r="AN3" s="613"/>
      <c r="AO3" s="613"/>
      <c r="AP3" s="613"/>
      <c r="AQ3" s="613"/>
      <c r="AR3" s="613"/>
      <c r="AS3" s="378"/>
    </row>
    <row r="4" spans="2:48" s="380" customFormat="1" ht="14" customHeight="1">
      <c r="B4" s="381"/>
      <c r="D4" s="382"/>
      <c r="E4" s="382"/>
      <c r="J4" s="380" t="s">
        <v>277</v>
      </c>
      <c r="AH4" s="376"/>
      <c r="AI4" s="376"/>
      <c r="AJ4" s="376"/>
      <c r="AK4" s="376"/>
      <c r="AL4" s="376"/>
      <c r="AM4" s="376"/>
      <c r="AN4" s="376"/>
      <c r="AO4" s="376"/>
      <c r="AP4" s="376"/>
      <c r="AQ4" s="376"/>
      <c r="AR4" s="376"/>
      <c r="AS4" s="383"/>
    </row>
    <row r="5" spans="2:48" s="380" customFormat="1" ht="19" customHeight="1">
      <c r="B5" s="381"/>
      <c r="C5" s="382"/>
      <c r="D5" s="382"/>
      <c r="E5" s="377"/>
      <c r="F5" s="1219" t="str">
        <f>Parameter!$D$8&amp;" "&amp;Parameter!D6</f>
        <v>Year 2023</v>
      </c>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784"/>
      <c r="AF5" s="785"/>
      <c r="AG5" s="811"/>
      <c r="AH5" s="1233" t="str">
        <f>Parameter!$D$8&amp;" "&amp;Parameter!E6</f>
        <v>Year 2024</v>
      </c>
      <c r="AI5" s="1234"/>
      <c r="AJ5" s="1234"/>
      <c r="AK5" s="1234"/>
      <c r="AL5" s="1235"/>
      <c r="AM5" s="377"/>
      <c r="AN5" s="1233" t="str">
        <f>Parameter!$D$8&amp;" "&amp;Parameter!F6</f>
        <v>Year 2025</v>
      </c>
      <c r="AO5" s="1234"/>
      <c r="AP5" s="1234"/>
      <c r="AQ5" s="1234"/>
      <c r="AR5" s="1235"/>
      <c r="AS5" s="383"/>
    </row>
    <row r="6" spans="2:48" s="380" customFormat="1" ht="30" customHeight="1">
      <c r="B6" s="381"/>
      <c r="C6" s="783" t="s">
        <v>297</v>
      </c>
      <c r="D6" s="783" t="s">
        <v>298</v>
      </c>
      <c r="E6" s="377"/>
      <c r="F6" s="786" t="s">
        <v>139</v>
      </c>
      <c r="G6" s="786" t="s">
        <v>139</v>
      </c>
      <c r="H6" s="786" t="s">
        <v>139</v>
      </c>
      <c r="I6" s="787" t="s">
        <v>139</v>
      </c>
      <c r="J6" s="787" t="s">
        <v>487</v>
      </c>
      <c r="K6" s="788" t="s">
        <v>254</v>
      </c>
      <c r="L6" s="787" t="s">
        <v>139</v>
      </c>
      <c r="M6" s="787" t="s">
        <v>139</v>
      </c>
      <c r="N6" s="787" t="s">
        <v>139</v>
      </c>
      <c r="O6" s="787" t="s">
        <v>139</v>
      </c>
      <c r="P6" s="787" t="s">
        <v>487</v>
      </c>
      <c r="Q6" s="788" t="s">
        <v>254</v>
      </c>
      <c r="R6" s="787" t="s">
        <v>139</v>
      </c>
      <c r="S6" s="787" t="s">
        <v>139</v>
      </c>
      <c r="T6" s="787" t="s">
        <v>139</v>
      </c>
      <c r="U6" s="787" t="s">
        <v>139</v>
      </c>
      <c r="V6" s="787" t="s">
        <v>487</v>
      </c>
      <c r="W6" s="788" t="s">
        <v>254</v>
      </c>
      <c r="X6" s="787" t="s">
        <v>139</v>
      </c>
      <c r="Y6" s="787" t="s">
        <v>139</v>
      </c>
      <c r="Z6" s="787" t="s">
        <v>139</v>
      </c>
      <c r="AA6" s="787" t="s">
        <v>139</v>
      </c>
      <c r="AB6" s="787" t="s">
        <v>487</v>
      </c>
      <c r="AC6" s="789" t="s">
        <v>254</v>
      </c>
      <c r="AD6" s="787" t="s">
        <v>139</v>
      </c>
      <c r="AE6" s="790" t="s">
        <v>278</v>
      </c>
      <c r="AF6" s="790" t="s">
        <v>488</v>
      </c>
      <c r="AG6" s="816"/>
      <c r="AH6" s="813" t="s">
        <v>139</v>
      </c>
      <c r="AI6" s="814" t="s">
        <v>139</v>
      </c>
      <c r="AJ6" s="814" t="s">
        <v>139</v>
      </c>
      <c r="AK6" s="814" t="s">
        <v>139</v>
      </c>
      <c r="AL6" s="815" t="s">
        <v>75</v>
      </c>
      <c r="AM6" s="377"/>
      <c r="AN6" s="813" t="s">
        <v>139</v>
      </c>
      <c r="AO6" s="814" t="s">
        <v>139</v>
      </c>
      <c r="AP6" s="814" t="s">
        <v>139</v>
      </c>
      <c r="AQ6" s="814" t="s">
        <v>139</v>
      </c>
      <c r="AR6" s="815" t="s">
        <v>75</v>
      </c>
      <c r="AS6" s="383"/>
    </row>
    <row r="7" spans="2:48" s="380" customFormat="1" ht="13">
      <c r="B7" s="381"/>
      <c r="C7" s="382"/>
      <c r="D7" s="382"/>
      <c r="E7" s="377"/>
      <c r="F7" s="385" t="s">
        <v>0</v>
      </c>
      <c r="G7" s="385" t="s">
        <v>1</v>
      </c>
      <c r="H7" s="385" t="s">
        <v>48</v>
      </c>
      <c r="I7" s="385" t="s">
        <v>91</v>
      </c>
      <c r="J7" s="385" t="s">
        <v>91</v>
      </c>
      <c r="K7" s="386" t="s">
        <v>91</v>
      </c>
      <c r="L7" s="385" t="s">
        <v>7</v>
      </c>
      <c r="M7" s="385" t="s">
        <v>49</v>
      </c>
      <c r="N7" s="385" t="s">
        <v>9</v>
      </c>
      <c r="O7" s="385" t="s">
        <v>92</v>
      </c>
      <c r="P7" s="385" t="s">
        <v>92</v>
      </c>
      <c r="Q7" s="386" t="s">
        <v>92</v>
      </c>
      <c r="R7" s="385" t="s">
        <v>10</v>
      </c>
      <c r="S7" s="385" t="s">
        <v>11</v>
      </c>
      <c r="T7" s="385" t="s">
        <v>12</v>
      </c>
      <c r="U7" s="385" t="s">
        <v>93</v>
      </c>
      <c r="V7" s="385" t="s">
        <v>93</v>
      </c>
      <c r="W7" s="386" t="s">
        <v>93</v>
      </c>
      <c r="X7" s="385" t="s">
        <v>50</v>
      </c>
      <c r="Y7" s="385" t="s">
        <v>2</v>
      </c>
      <c r="Z7" s="385" t="s">
        <v>51</v>
      </c>
      <c r="AA7" s="385" t="s">
        <v>94</v>
      </c>
      <c r="AB7" s="385" t="s">
        <v>94</v>
      </c>
      <c r="AC7" s="387" t="s">
        <v>94</v>
      </c>
      <c r="AD7" s="385" t="s">
        <v>75</v>
      </c>
      <c r="AE7" s="388" t="s">
        <v>75</v>
      </c>
      <c r="AF7" s="515" t="s">
        <v>75</v>
      </c>
      <c r="AG7" s="651"/>
      <c r="AH7" s="812" t="s">
        <v>91</v>
      </c>
      <c r="AI7" s="665" t="s">
        <v>92</v>
      </c>
      <c r="AJ7" s="665" t="s">
        <v>93</v>
      </c>
      <c r="AK7" s="665" t="s">
        <v>94</v>
      </c>
      <c r="AL7" s="665" t="s">
        <v>75</v>
      </c>
      <c r="AM7" s="384"/>
      <c r="AN7" s="812" t="s">
        <v>91</v>
      </c>
      <c r="AO7" s="665" t="s">
        <v>92</v>
      </c>
      <c r="AP7" s="665" t="s">
        <v>93</v>
      </c>
      <c r="AQ7" s="665" t="s">
        <v>94</v>
      </c>
      <c r="AR7" s="665" t="s">
        <v>75</v>
      </c>
      <c r="AS7" s="383"/>
      <c r="AT7" s="509"/>
    </row>
    <row r="8" spans="2:48" s="569" customFormat="1" ht="14" customHeight="1">
      <c r="B8" s="566"/>
      <c r="C8" s="567" t="s">
        <v>288</v>
      </c>
      <c r="D8" s="567" t="s">
        <v>46</v>
      </c>
      <c r="E8" s="568"/>
      <c r="F8" s="390">
        <f>F9+F10+F11+F13+F12</f>
        <v>1.2499950000000002</v>
      </c>
      <c r="G8" s="390">
        <f t="shared" ref="G8:H8" si="0">G9+G10+G11+G13+G12</f>
        <v>3.6499950000000001</v>
      </c>
      <c r="H8" s="390">
        <f t="shared" si="0"/>
        <v>10.249995</v>
      </c>
      <c r="I8" s="390">
        <f t="shared" ref="I8:I13" si="1">SUM(F8:H8)</f>
        <v>15.149985000000001</v>
      </c>
      <c r="J8" s="390">
        <f>SUM(J9:J13)</f>
        <v>31</v>
      </c>
      <c r="K8" s="574">
        <f t="shared" ref="K8:K17" si="2">IF(I8 &lt;&gt; 0, (J8/I8)*100%, "N/A")</f>
        <v>2.0462066464092206</v>
      </c>
      <c r="L8" s="390">
        <f>L9+L10+L11+L13+L12</f>
        <v>7.8499949999999998</v>
      </c>
      <c r="M8" s="390">
        <f t="shared" ref="M8:N8" si="3">M9+M10+M11+M13+M12</f>
        <v>8.5499950000000009</v>
      </c>
      <c r="N8" s="390">
        <f t="shared" si="3"/>
        <v>13.249995</v>
      </c>
      <c r="O8" s="390">
        <f t="shared" ref="O8:O13" si="4">SUM(L8:N8)</f>
        <v>29.649985000000001</v>
      </c>
      <c r="P8" s="723">
        <f>+O8</f>
        <v>29.649985000000001</v>
      </c>
      <c r="Q8" s="574">
        <f>IF(O8 &gt; 0, P8/O8*100%, "N/A")</f>
        <v>1</v>
      </c>
      <c r="R8" s="390">
        <f>R9+R10+R11+R13+R12</f>
        <v>8.2499950000000002</v>
      </c>
      <c r="S8" s="390">
        <f t="shared" ref="S8:T8" si="5">S9+S10+S11+S13+S12</f>
        <v>8.9499950000000013</v>
      </c>
      <c r="T8" s="390">
        <f t="shared" si="5"/>
        <v>15.049995000000001</v>
      </c>
      <c r="U8" s="390">
        <f t="shared" ref="U8:U13" si="6">SUM(R8:T8)</f>
        <v>32.249985000000002</v>
      </c>
      <c r="V8" s="723">
        <f>+U8</f>
        <v>32.249985000000002</v>
      </c>
      <c r="W8" s="574">
        <f>IF(U8 &gt; 0, V8/U8*100%, "N/A")</f>
        <v>1</v>
      </c>
      <c r="X8" s="390">
        <f>X9+X10+X11+X13+X12</f>
        <v>10.149995000000001</v>
      </c>
      <c r="Y8" s="390">
        <f t="shared" ref="Y8:Z8" si="7">Y9+Y10+Y11+Y13+Y12</f>
        <v>9.6499950000000005</v>
      </c>
      <c r="Z8" s="390">
        <f t="shared" si="7"/>
        <v>11.149995000000002</v>
      </c>
      <c r="AA8" s="390">
        <f t="shared" ref="AA8:AA13" si="8">SUM(X8:Z8)</f>
        <v>30.949985000000005</v>
      </c>
      <c r="AB8" s="723">
        <f>+AA8</f>
        <v>30.949985000000005</v>
      </c>
      <c r="AC8" s="391">
        <f>IF(AA8 &gt; 0, AB8/AA8*100%, "N/A")</f>
        <v>1</v>
      </c>
      <c r="AD8" s="390">
        <f t="shared" ref="AD8:AD14" si="9">I8+O8+U8+AA8</f>
        <v>107.99994000000001</v>
      </c>
      <c r="AE8" s="392">
        <f ca="1">SUMIF($I$4:$AD$4,"x",I8:AB8)</f>
        <v>31</v>
      </c>
      <c r="AF8" s="516">
        <f>SUM(J8,P8,V8,AB8)</f>
        <v>123.84995499999999</v>
      </c>
      <c r="AG8" s="395"/>
      <c r="AH8" s="616">
        <f>SUM(AH9:AH13)</f>
        <v>23.179970000000004</v>
      </c>
      <c r="AI8" s="616">
        <f t="shared" ref="AI8:AL8" si="10">SUM(AI9:AI13)</f>
        <v>42.279970000000006</v>
      </c>
      <c r="AJ8" s="616">
        <f t="shared" si="10"/>
        <v>45.179970000000004</v>
      </c>
      <c r="AK8" s="616">
        <f t="shared" si="10"/>
        <v>41.959969999999998</v>
      </c>
      <c r="AL8" s="616">
        <f t="shared" si="10"/>
        <v>152.59988000000001</v>
      </c>
      <c r="AM8" s="396"/>
      <c r="AN8" s="616">
        <f>SUM(AN9:AN13)</f>
        <v>39.029925000000006</v>
      </c>
      <c r="AO8" s="616">
        <f t="shared" ref="AO8" si="11">SUM(AO9:AO13)</f>
        <v>75.429924999999997</v>
      </c>
      <c r="AP8" s="616">
        <f t="shared" ref="AP8" si="12">SUM(AP9:AP13)</f>
        <v>79.029925000000006</v>
      </c>
      <c r="AQ8" s="616">
        <f t="shared" ref="AQ8" si="13">SUM(AQ9:AQ13)</f>
        <v>75.50992500000001</v>
      </c>
      <c r="AR8" s="616">
        <f t="shared" ref="AR8" si="14">SUM(AR9:AR13)</f>
        <v>268.99970000000002</v>
      </c>
      <c r="AS8" s="575"/>
      <c r="AT8" s="412"/>
      <c r="AU8" s="412"/>
      <c r="AV8" s="412"/>
    </row>
    <row r="9" spans="2:48" s="569" customFormat="1" ht="14" customHeight="1" outlineLevel="1">
      <c r="B9" s="566"/>
      <c r="C9" s="570" t="str">
        <f>"    "&amp;Parameter!D9</f>
        <v xml:space="preserve">    Product 1</v>
      </c>
      <c r="D9" s="570" t="str">
        <f>"    "&amp;Parameter!D9</f>
        <v xml:space="preserve">    Product 1</v>
      </c>
      <c r="E9" s="568"/>
      <c r="F9" s="399">
        <f>Revenues!E50/$N$3</f>
        <v>0</v>
      </c>
      <c r="G9" s="399">
        <f>Revenues!F50/$N$3</f>
        <v>0</v>
      </c>
      <c r="H9" s="399">
        <f>Revenues!G50/$N$3</f>
        <v>5</v>
      </c>
      <c r="I9" s="399">
        <f t="shared" si="1"/>
        <v>5</v>
      </c>
      <c r="J9" s="724">
        <f>+I9</f>
        <v>5</v>
      </c>
      <c r="K9" s="576">
        <f>IF(I9 &lt;&gt; 0, (J9/I9)*100%, "N/A")</f>
        <v>1</v>
      </c>
      <c r="L9" s="399">
        <f>Revenues!H50/$N$3</f>
        <v>0</v>
      </c>
      <c r="M9" s="399">
        <f>Revenues!I50/$N$3</f>
        <v>0</v>
      </c>
      <c r="N9" s="399">
        <f>Revenues!J50/$N$3</f>
        <v>5</v>
      </c>
      <c r="O9" s="399">
        <f t="shared" si="4"/>
        <v>5</v>
      </c>
      <c r="P9" s="723">
        <f t="shared" ref="P9:P17" si="15">+O9</f>
        <v>5</v>
      </c>
      <c r="Q9" s="576">
        <f>IF(O9 &gt; 0, P9/O9*100%, "N/A")</f>
        <v>1</v>
      </c>
      <c r="R9" s="399">
        <f>Revenues!K50/$N$3</f>
        <v>0</v>
      </c>
      <c r="S9" s="399">
        <f>Revenues!L50/$N$3</f>
        <v>0</v>
      </c>
      <c r="T9" s="399">
        <f>Revenues!M50/$N$3</f>
        <v>5</v>
      </c>
      <c r="U9" s="399">
        <f t="shared" si="6"/>
        <v>5</v>
      </c>
      <c r="V9" s="723">
        <f t="shared" ref="V9:V17" si="16">+U9</f>
        <v>5</v>
      </c>
      <c r="W9" s="576">
        <f>IF(U9 &gt; 0, V9/U9*100%, "N/A")</f>
        <v>1</v>
      </c>
      <c r="X9" s="399">
        <f>Revenues!N50/$N$3</f>
        <v>0</v>
      </c>
      <c r="Y9" s="399">
        <f>Revenues!O50/$N$3</f>
        <v>0</v>
      </c>
      <c r="Z9" s="399">
        <f>Revenues!P50/$N$3</f>
        <v>5</v>
      </c>
      <c r="AA9" s="399">
        <f t="shared" si="8"/>
        <v>5</v>
      </c>
      <c r="AB9" s="723">
        <f t="shared" ref="AB9:AB17" si="17">+AA9</f>
        <v>5</v>
      </c>
      <c r="AC9" s="391">
        <f>IF(AA9 &gt; 0, AB9/AA9*100%, "N/A")</f>
        <v>1</v>
      </c>
      <c r="AD9" s="399">
        <f t="shared" si="9"/>
        <v>20</v>
      </c>
      <c r="AE9" s="392">
        <f t="shared" ref="AE9:AE17" ca="1" si="18">SUMIF($I$4:$AD$4,"x",I9:AB9)</f>
        <v>5</v>
      </c>
      <c r="AF9" s="516">
        <f t="shared" ref="AF9:AF17" si="19">SUM(J9,P9,V9,AB9)</f>
        <v>20</v>
      </c>
      <c r="AG9" s="402"/>
      <c r="AH9" s="399">
        <f>SUM(Revenues!S50:U50)/$N$3</f>
        <v>6.25</v>
      </c>
      <c r="AI9" s="399">
        <f>SUM(Revenues!V50:X50)/$N$3</f>
        <v>8.25</v>
      </c>
      <c r="AJ9" s="399">
        <f>SUM(Revenues!Y50:AA50)/$N$3</f>
        <v>6.75</v>
      </c>
      <c r="AK9" s="399">
        <f>SUM(Revenues!AB50:AD50)/$N$3</f>
        <v>6.25</v>
      </c>
      <c r="AL9" s="399">
        <f t="shared" ref="AL9:AL17" si="20">SUM(AH9:AK9)</f>
        <v>27.5</v>
      </c>
      <c r="AM9" s="403"/>
      <c r="AN9" s="399">
        <f>SUM(Revenues!AG50:AI50)/$N$3</f>
        <v>7.5</v>
      </c>
      <c r="AO9" s="399">
        <f>SUM(Revenues!AJ50:AL50)/$N$3</f>
        <v>9.5</v>
      </c>
      <c r="AP9" s="399">
        <f>SUM(Revenues!AM50:AO50)/$N$3</f>
        <v>7.5</v>
      </c>
      <c r="AQ9" s="399">
        <f>SUM(Revenues!AP50:AR50)/$N$3</f>
        <v>7.5</v>
      </c>
      <c r="AR9" s="399">
        <f t="shared" ref="AR9:AR17" si="21">SUM(AN9:AQ9)</f>
        <v>32</v>
      </c>
      <c r="AS9" s="575"/>
      <c r="AT9" s="412"/>
      <c r="AU9" s="412"/>
      <c r="AV9" s="412"/>
    </row>
    <row r="10" spans="2:48" s="569" customFormat="1" ht="14" customHeight="1" outlineLevel="1">
      <c r="B10" s="566"/>
      <c r="C10" s="570" t="str">
        <f>"    "&amp;Parameter!D10</f>
        <v xml:space="preserve">    Product 2</v>
      </c>
      <c r="D10" s="570" t="str">
        <f>"    "&amp;Parameter!D10</f>
        <v xml:space="preserve">    Product 2</v>
      </c>
      <c r="E10" s="568"/>
      <c r="F10" s="399">
        <f>Revenues!E58/$N$3</f>
        <v>0</v>
      </c>
      <c r="G10" s="399">
        <f>Revenues!F58/$N$3</f>
        <v>2.1</v>
      </c>
      <c r="H10" s="399">
        <f>Revenues!G58/$N$3</f>
        <v>3.5</v>
      </c>
      <c r="I10" s="399">
        <f t="shared" si="1"/>
        <v>5.6</v>
      </c>
      <c r="J10" s="724">
        <v>6</v>
      </c>
      <c r="K10" s="576">
        <f>IF(I10 &lt;&gt; 0, (J10/I10)*100%, "N/A")</f>
        <v>1.0714285714285714</v>
      </c>
      <c r="L10" s="399">
        <f>Revenues!H58/$N$3</f>
        <v>5.6</v>
      </c>
      <c r="M10" s="399">
        <f>Revenues!I58/$N$3</f>
        <v>7</v>
      </c>
      <c r="N10" s="399">
        <f>Revenues!J58/$N$3</f>
        <v>7</v>
      </c>
      <c r="O10" s="399">
        <f t="shared" si="4"/>
        <v>19.600000000000001</v>
      </c>
      <c r="P10" s="723">
        <f t="shared" si="15"/>
        <v>19.600000000000001</v>
      </c>
      <c r="Q10" s="576">
        <f>IF(O10 &gt; 0, P10/O10*100%, "N/A")</f>
        <v>1</v>
      </c>
      <c r="R10" s="399">
        <f>Revenues!K58/$N$3</f>
        <v>7</v>
      </c>
      <c r="S10" s="399">
        <f>Revenues!L58/$N$3</f>
        <v>7.7</v>
      </c>
      <c r="T10" s="399">
        <f>Revenues!M58/$N$3</f>
        <v>8.4</v>
      </c>
      <c r="U10" s="399">
        <f t="shared" si="6"/>
        <v>23.1</v>
      </c>
      <c r="V10" s="723">
        <f t="shared" si="16"/>
        <v>23.1</v>
      </c>
      <c r="W10" s="576">
        <f>IF(U10 &gt; 0, V10/U10*100%, "N/A")</f>
        <v>1</v>
      </c>
      <c r="X10" s="399">
        <f>Revenues!N58/$N$3</f>
        <v>8.4</v>
      </c>
      <c r="Y10" s="399">
        <f>Revenues!O58/$N$3</f>
        <v>8.4</v>
      </c>
      <c r="Z10" s="399">
        <f>Revenues!P58/$N$3</f>
        <v>4.9000000000000012</v>
      </c>
      <c r="AA10" s="399">
        <f t="shared" si="8"/>
        <v>21.700000000000003</v>
      </c>
      <c r="AB10" s="723">
        <f t="shared" si="17"/>
        <v>21.700000000000003</v>
      </c>
      <c r="AC10" s="574">
        <f>IF(AA10 &lt;&gt; 0, (AB10/AA10)*100%, "N/A")</f>
        <v>1</v>
      </c>
      <c r="AD10" s="399">
        <f t="shared" si="9"/>
        <v>70</v>
      </c>
      <c r="AE10" s="392">
        <f t="shared" ca="1" si="18"/>
        <v>6</v>
      </c>
      <c r="AF10" s="516">
        <f t="shared" si="19"/>
        <v>70.400000000000006</v>
      </c>
      <c r="AG10" s="402"/>
      <c r="AH10" s="399">
        <f>SUM(Revenues!S58:U58)/$N$3</f>
        <v>7.28</v>
      </c>
      <c r="AI10" s="399">
        <f>SUM(Revenues!V58:X58)/$N$3</f>
        <v>25.48</v>
      </c>
      <c r="AJ10" s="399">
        <f>SUM(Revenues!Y58:AA58)/$N$3</f>
        <v>30.03</v>
      </c>
      <c r="AK10" s="399">
        <f>SUM(Revenues!AB58:AD58)/$N$3</f>
        <v>28.21</v>
      </c>
      <c r="AL10" s="399">
        <f t="shared" si="20"/>
        <v>91</v>
      </c>
      <c r="AM10" s="403"/>
      <c r="AN10" s="399">
        <f>SUM(Revenues!AG58:AI58)/$N$3</f>
        <v>12.48</v>
      </c>
      <c r="AO10" s="399">
        <f>SUM(Revenues!AJ58:AL58)/$N$3</f>
        <v>43.68</v>
      </c>
      <c r="AP10" s="399">
        <f>SUM(Revenues!AM58:AO58)/$N$3</f>
        <v>51.48</v>
      </c>
      <c r="AQ10" s="399">
        <f>SUM(Revenues!AP58:AR58)/$N$3</f>
        <v>48.36</v>
      </c>
      <c r="AR10" s="399">
        <f t="shared" si="21"/>
        <v>156</v>
      </c>
      <c r="AS10" s="575"/>
      <c r="AT10" s="412"/>
      <c r="AU10" s="412"/>
      <c r="AV10" s="412"/>
    </row>
    <row r="11" spans="2:48" s="569" customFormat="1" ht="14" customHeight="1" outlineLevel="1">
      <c r="B11" s="566"/>
      <c r="C11" s="570" t="str">
        <f>"    "&amp;Parameter!D11</f>
        <v xml:space="preserve">    Product 3</v>
      </c>
      <c r="D11" s="570" t="str">
        <f>"    "&amp;Parameter!D11</f>
        <v xml:space="preserve">    Product 3</v>
      </c>
      <c r="E11" s="568"/>
      <c r="F11" s="399">
        <f>Revenues!E66/$N$3</f>
        <v>1.2499950000000002</v>
      </c>
      <c r="G11" s="399">
        <f>Revenues!F66/$N$3</f>
        <v>1.2499950000000002</v>
      </c>
      <c r="H11" s="399">
        <f>Revenues!G66/$N$3</f>
        <v>1.2499950000000002</v>
      </c>
      <c r="I11" s="399">
        <f t="shared" si="1"/>
        <v>3.7499850000000006</v>
      </c>
      <c r="J11" s="724">
        <v>10</v>
      </c>
      <c r="K11" s="576">
        <f>IF(I11 &lt;&gt; 0, (J11/I11)*100%, "N/A")</f>
        <v>2.6666773333759997</v>
      </c>
      <c r="L11" s="399">
        <f>Revenues!H66/$N$3</f>
        <v>2.2499949999999997</v>
      </c>
      <c r="M11" s="399">
        <f>Revenues!I66/$N$3</f>
        <v>1.2499950000000002</v>
      </c>
      <c r="N11" s="399">
        <f>Revenues!J66/$N$3</f>
        <v>1.2499950000000002</v>
      </c>
      <c r="O11" s="399">
        <f t="shared" si="4"/>
        <v>4.7499850000000006</v>
      </c>
      <c r="P11" s="723">
        <f t="shared" si="15"/>
        <v>4.7499850000000006</v>
      </c>
      <c r="Q11" s="576">
        <f>IF(O11 &gt; 0, P11/O11*100%, "N/A")</f>
        <v>1</v>
      </c>
      <c r="R11" s="399">
        <f>Revenues!K66/$N$3</f>
        <v>1.2499950000000002</v>
      </c>
      <c r="S11" s="399">
        <f>Revenues!L66/$N$3</f>
        <v>1.2499950000000002</v>
      </c>
      <c r="T11" s="399">
        <f>Revenues!M66/$N$3</f>
        <v>1.2499950000000002</v>
      </c>
      <c r="U11" s="399">
        <f t="shared" si="6"/>
        <v>3.7499850000000006</v>
      </c>
      <c r="V11" s="723">
        <f t="shared" si="16"/>
        <v>3.7499850000000006</v>
      </c>
      <c r="W11" s="576">
        <f>IF(U11 &gt; 0, V11/U11*100%, "N/A")</f>
        <v>1</v>
      </c>
      <c r="X11" s="399">
        <f>Revenues!N66/$N$3</f>
        <v>1.2499950000000002</v>
      </c>
      <c r="Y11" s="399">
        <f>Revenues!O66/$N$3</f>
        <v>1.2499950000000002</v>
      </c>
      <c r="Z11" s="399">
        <f>Revenues!P66/$N$3</f>
        <v>1.2499950000000002</v>
      </c>
      <c r="AA11" s="399">
        <f t="shared" si="8"/>
        <v>3.7499850000000006</v>
      </c>
      <c r="AB11" s="723">
        <f t="shared" si="17"/>
        <v>3.7499850000000006</v>
      </c>
      <c r="AC11" s="574">
        <f>IF(AA11 &lt;&gt; 0, (AB11/AA11)*100%, "N/A")</f>
        <v>1</v>
      </c>
      <c r="AD11" s="399">
        <f t="shared" si="9"/>
        <v>15.999940000000002</v>
      </c>
      <c r="AE11" s="392">
        <f t="shared" ca="1" si="18"/>
        <v>10</v>
      </c>
      <c r="AF11" s="516">
        <f t="shared" si="19"/>
        <v>22.249955</v>
      </c>
      <c r="AG11" s="402"/>
      <c r="AH11" s="399">
        <f>SUM(Revenues!S66:U66)/$N$3</f>
        <v>8.4999700000000011</v>
      </c>
      <c r="AI11" s="399">
        <f>SUM(Revenues!V66:X66)/$N$3</f>
        <v>7.4999700000000011</v>
      </c>
      <c r="AJ11" s="399">
        <f>SUM(Revenues!Y66:AA66)/$N$3</f>
        <v>7.4999700000000011</v>
      </c>
      <c r="AK11" s="399">
        <f>SUM(Revenues!AB66:AD66)/$N$3</f>
        <v>7.4999700000000011</v>
      </c>
      <c r="AL11" s="399">
        <f t="shared" si="20"/>
        <v>30.999880000000005</v>
      </c>
      <c r="AM11" s="403"/>
      <c r="AN11" s="399">
        <f>SUM(Revenues!AG66:AI66)/$N$3</f>
        <v>18.749925000000005</v>
      </c>
      <c r="AO11" s="399">
        <f>SUM(Revenues!AJ66:AL66)/$N$3</f>
        <v>21.249925000000005</v>
      </c>
      <c r="AP11" s="399">
        <f>SUM(Revenues!AM66:AO66)/$N$3</f>
        <v>18.749925000000005</v>
      </c>
      <c r="AQ11" s="399">
        <f>SUM(Revenues!AP66:AR66)/$N$3</f>
        <v>18.749925000000005</v>
      </c>
      <c r="AR11" s="399">
        <f t="shared" si="21"/>
        <v>77.499700000000018</v>
      </c>
      <c r="AS11" s="575"/>
      <c r="AT11" s="412"/>
      <c r="AU11" s="412"/>
      <c r="AV11" s="412"/>
    </row>
    <row r="12" spans="2:48" s="569" customFormat="1" ht="14" customHeight="1" outlineLevel="1">
      <c r="B12" s="566"/>
      <c r="C12" s="570" t="str">
        <f>"    "&amp;Parameter!D12</f>
        <v xml:space="preserve">    Product 4</v>
      </c>
      <c r="D12" s="570" t="str">
        <f>"    "&amp;Parameter!D12</f>
        <v xml:space="preserve">    Product 4</v>
      </c>
      <c r="E12" s="568"/>
      <c r="F12" s="399">
        <f>Revenues!E74/$N$3</f>
        <v>0</v>
      </c>
      <c r="G12" s="399">
        <f>Revenues!F74/$N$3</f>
        <v>0.3</v>
      </c>
      <c r="H12" s="399">
        <f>Revenues!G74/$N$3</f>
        <v>0</v>
      </c>
      <c r="I12" s="399">
        <f t="shared" si="1"/>
        <v>0.3</v>
      </c>
      <c r="J12" s="724">
        <v>5</v>
      </c>
      <c r="K12" s="576">
        <f>IF(I12 &lt;&gt; 0, (J12/I12)*100%, "N/A")</f>
        <v>16.666666666666668</v>
      </c>
      <c r="L12" s="399">
        <f>Revenues!H74/$N$3</f>
        <v>0</v>
      </c>
      <c r="M12" s="399">
        <f>Revenues!I74/$N$3</f>
        <v>0.3</v>
      </c>
      <c r="N12" s="399">
        <f>Revenues!J74/$N$3</f>
        <v>0</v>
      </c>
      <c r="O12" s="399">
        <f t="shared" si="4"/>
        <v>0.3</v>
      </c>
      <c r="P12" s="723">
        <f t="shared" si="15"/>
        <v>0.3</v>
      </c>
      <c r="Q12" s="576">
        <f>IF(O12 &gt; 0, P12/O12*100%, "N/A")</f>
        <v>1</v>
      </c>
      <c r="R12" s="399">
        <f>Revenues!K74/$N$3</f>
        <v>0</v>
      </c>
      <c r="S12" s="399">
        <f>Revenues!L74/$N$3</f>
        <v>0</v>
      </c>
      <c r="T12" s="399">
        <f>Revenues!M74/$N$3</f>
        <v>0.4</v>
      </c>
      <c r="U12" s="399">
        <f t="shared" si="6"/>
        <v>0.4</v>
      </c>
      <c r="V12" s="723">
        <f t="shared" si="16"/>
        <v>0.4</v>
      </c>
      <c r="W12" s="576">
        <f>IF(U12 &gt; 0, V12/U12*100%, "N/A")</f>
        <v>1</v>
      </c>
      <c r="X12" s="399">
        <f>Revenues!N74/$N$3</f>
        <v>0</v>
      </c>
      <c r="Y12" s="399">
        <f>Revenues!O74/$N$3</f>
        <v>0</v>
      </c>
      <c r="Z12" s="399">
        <f>Revenues!P74/$N$3</f>
        <v>0</v>
      </c>
      <c r="AA12" s="399">
        <f t="shared" si="8"/>
        <v>0</v>
      </c>
      <c r="AB12" s="723">
        <f t="shared" si="17"/>
        <v>0</v>
      </c>
      <c r="AC12" s="574" t="str">
        <f>IF(AA12 &lt;&gt; 0, (AB12/AA12)*100%, "N/A")</f>
        <v>N/A</v>
      </c>
      <c r="AD12" s="399">
        <f t="shared" ref="AD12" si="22">I12+O12+U12+AA12</f>
        <v>1</v>
      </c>
      <c r="AE12" s="392">
        <f t="shared" ca="1" si="18"/>
        <v>5</v>
      </c>
      <c r="AF12" s="516">
        <f t="shared" si="19"/>
        <v>5.7</v>
      </c>
      <c r="AG12" s="402"/>
      <c r="AH12" s="399">
        <f>SUM(Revenues!S74:U74)/$N$3</f>
        <v>0.6</v>
      </c>
      <c r="AI12" s="399">
        <f>SUM(Revenues!V74:X74)/$N$3</f>
        <v>1</v>
      </c>
      <c r="AJ12" s="399">
        <f>SUM(Revenues!Y74:AA74)/$N$3</f>
        <v>0.4</v>
      </c>
      <c r="AK12" s="399">
        <f>SUM(Revenues!AB74:AD74)/$N$3</f>
        <v>0</v>
      </c>
      <c r="AL12" s="399">
        <f t="shared" ref="AL12" si="23">SUM(AH12:AK12)</f>
        <v>2</v>
      </c>
      <c r="AM12" s="403"/>
      <c r="AN12" s="399">
        <f>SUM(Revenues!AG74:AI74)/$N$3</f>
        <v>0.3</v>
      </c>
      <c r="AO12" s="399">
        <f>SUM(Revenues!AJ74:AL74)/$N$3</f>
        <v>0.3</v>
      </c>
      <c r="AP12" s="399">
        <f>SUM(Revenues!AM74:AO74)/$N$3</f>
        <v>1</v>
      </c>
      <c r="AQ12" s="399">
        <f>SUM(Revenues!AP74:AR74)/$N$3</f>
        <v>0.4</v>
      </c>
      <c r="AR12" s="399">
        <f t="shared" ref="AR12" si="24">SUM(AN12:AQ12)</f>
        <v>2</v>
      </c>
      <c r="AS12" s="575"/>
      <c r="AT12" s="412"/>
      <c r="AU12" s="412"/>
      <c r="AV12" s="412"/>
    </row>
    <row r="13" spans="2:48" s="573" customFormat="1" ht="14" customHeight="1" outlineLevel="1">
      <c r="B13" s="571"/>
      <c r="C13" s="570" t="str">
        <f>"    "&amp;Parameter!D13</f>
        <v xml:space="preserve">    Product 5</v>
      </c>
      <c r="D13" s="570" t="str">
        <f>"    "&amp;Parameter!D13</f>
        <v xml:space="preserve">    Product 5</v>
      </c>
      <c r="E13" s="572"/>
      <c r="F13" s="399">
        <f>Revenues!E82/$N$3</f>
        <v>0</v>
      </c>
      <c r="G13" s="399">
        <f>Revenues!F82/$N$3</f>
        <v>0</v>
      </c>
      <c r="H13" s="399">
        <f>Revenues!G82/$N$3</f>
        <v>0.5</v>
      </c>
      <c r="I13" s="399">
        <f t="shared" si="1"/>
        <v>0.5</v>
      </c>
      <c r="J13" s="724">
        <v>5</v>
      </c>
      <c r="K13" s="576">
        <f>IF(I13 &lt;&gt; 0, (J13/I13)*100%, "N/A")</f>
        <v>10</v>
      </c>
      <c r="L13" s="399">
        <f>Revenues!H82/$N$3</f>
        <v>0</v>
      </c>
      <c r="M13" s="399">
        <f>Revenues!I82/$N$3</f>
        <v>0</v>
      </c>
      <c r="N13" s="399">
        <f>Revenues!J82/$N$3</f>
        <v>0</v>
      </c>
      <c r="O13" s="399">
        <f t="shared" si="4"/>
        <v>0</v>
      </c>
      <c r="P13" s="723">
        <f t="shared" si="15"/>
        <v>0</v>
      </c>
      <c r="Q13" s="576" t="str">
        <f>IF(O13 &lt;&gt; 0, (P13/O13)*100%, "N/A")</f>
        <v>N/A</v>
      </c>
      <c r="R13" s="399">
        <f>Revenues!K82/$N$3</f>
        <v>0</v>
      </c>
      <c r="S13" s="399">
        <f>Revenues!L82/$N$3</f>
        <v>0</v>
      </c>
      <c r="T13" s="399">
        <f>Revenues!M82/$N$3</f>
        <v>0</v>
      </c>
      <c r="U13" s="399">
        <f t="shared" si="6"/>
        <v>0</v>
      </c>
      <c r="V13" s="723">
        <f t="shared" si="16"/>
        <v>0</v>
      </c>
      <c r="W13" s="576" t="str">
        <f>IF(U13 &lt;&gt; 0, (V13/U13)*100%, "N/A")</f>
        <v>N/A</v>
      </c>
      <c r="X13" s="399">
        <f>Revenues!N82/$N$3</f>
        <v>0.5</v>
      </c>
      <c r="Y13" s="399">
        <f>Revenues!O82/$N$3</f>
        <v>0</v>
      </c>
      <c r="Z13" s="399">
        <f>Revenues!P82/$N$3</f>
        <v>0</v>
      </c>
      <c r="AA13" s="399">
        <f t="shared" si="8"/>
        <v>0.5</v>
      </c>
      <c r="AB13" s="723">
        <f t="shared" si="17"/>
        <v>0.5</v>
      </c>
      <c r="AC13" s="577">
        <f>IF(AA13 &lt;&gt; 0, (AB13/AA13)*100%, "N/A")</f>
        <v>1</v>
      </c>
      <c r="AD13" s="399">
        <f t="shared" si="9"/>
        <v>1</v>
      </c>
      <c r="AE13" s="392">
        <f t="shared" ca="1" si="18"/>
        <v>5</v>
      </c>
      <c r="AF13" s="516">
        <f t="shared" si="19"/>
        <v>5.5</v>
      </c>
      <c r="AG13" s="614"/>
      <c r="AH13" s="399">
        <f>SUM(Revenues!S82:U82)/$N$3</f>
        <v>0.55000000000000004</v>
      </c>
      <c r="AI13" s="399">
        <f>SUM(Revenues!V82:X82)/$N$3</f>
        <v>0.05</v>
      </c>
      <c r="AJ13" s="399">
        <f>SUM(Revenues!Y82:AA82)/$N$3</f>
        <v>0.5</v>
      </c>
      <c r="AK13" s="399">
        <f>SUM(Revenues!AB82:AD82)/$N$3</f>
        <v>0</v>
      </c>
      <c r="AL13" s="399">
        <f t="shared" si="20"/>
        <v>1.1000000000000001</v>
      </c>
      <c r="AM13" s="615"/>
      <c r="AN13" s="399">
        <f>SUM(Revenues!AG82:AI82)/$N$3</f>
        <v>0</v>
      </c>
      <c r="AO13" s="399">
        <f>SUM(Revenues!AJ82:AL82)/$N$3</f>
        <v>0.7</v>
      </c>
      <c r="AP13" s="399">
        <f>SUM(Revenues!AM82:AO82)/$N$3</f>
        <v>0.3</v>
      </c>
      <c r="AQ13" s="399">
        <f>SUM(Revenues!AP82:AR82)/$N$3</f>
        <v>0.5</v>
      </c>
      <c r="AR13" s="399">
        <f t="shared" si="21"/>
        <v>1.5</v>
      </c>
      <c r="AS13" s="578"/>
      <c r="AT13" s="444"/>
      <c r="AU13" s="579"/>
      <c r="AV13" s="444"/>
    </row>
    <row r="14" spans="2:48" s="376" customFormat="1" ht="13">
      <c r="B14" s="389"/>
      <c r="C14" s="394" t="s">
        <v>282</v>
      </c>
      <c r="D14" s="394" t="s">
        <v>285</v>
      </c>
      <c r="E14" s="379"/>
      <c r="F14" s="390">
        <f>SUM(F9:F13)*Cash_DIscount_Rate*-1</f>
        <v>-9.7499610000000014E-3</v>
      </c>
      <c r="G14" s="390">
        <f>SUM(G9:G13)*Cash_DIscount_Rate*-1</f>
        <v>-2.8469960999999998E-2</v>
      </c>
      <c r="H14" s="390">
        <f>SUM(H9:H13)*Cash_DIscount_Rate*-1</f>
        <v>-7.9949961E-2</v>
      </c>
      <c r="I14" s="390">
        <f t="shared" ref="I14:I59" si="25">SUM(F14:H14)</f>
        <v>-0.118169883</v>
      </c>
      <c r="J14" s="723">
        <f>+I14</f>
        <v>-0.118169883</v>
      </c>
      <c r="K14" s="574">
        <f t="shared" si="2"/>
        <v>1</v>
      </c>
      <c r="L14" s="390">
        <f>SUM(L9:L13)*Cash_DIscount_Rate*-1</f>
        <v>-6.1229960999999992E-2</v>
      </c>
      <c r="M14" s="390">
        <f>SUM(M9:M13)*Cash_DIscount_Rate*-1</f>
        <v>-6.6689961000000006E-2</v>
      </c>
      <c r="N14" s="390">
        <f>SUM(N9:N13)*Cash_DIscount_Rate*-1</f>
        <v>-0.10334996099999999</v>
      </c>
      <c r="O14" s="390">
        <f t="shared" ref="O14:O59" si="26">SUM(L14:N14)</f>
        <v>-0.23126988299999998</v>
      </c>
      <c r="P14" s="723">
        <f t="shared" si="15"/>
        <v>-0.23126988299999998</v>
      </c>
      <c r="Q14" s="393" t="str">
        <f t="shared" ref="Q14:Q61" si="27">IF(O14 &gt; 0, P14/O14*100%, "N/A")</f>
        <v>N/A</v>
      </c>
      <c r="R14" s="390">
        <f>SUM(R9:R13)*Cash_DIscount_Rate*-1</f>
        <v>-6.4349960999999997E-2</v>
      </c>
      <c r="S14" s="390">
        <f>SUM(S9:S13)*Cash_DIscount_Rate*-1</f>
        <v>-6.9809961000000004E-2</v>
      </c>
      <c r="T14" s="390">
        <f>SUM(T9:T13)*Cash_DIscount_Rate*-1</f>
        <v>-0.117389961</v>
      </c>
      <c r="U14" s="390">
        <f t="shared" ref="U14:U59" si="28">SUM(R14:T14)</f>
        <v>-0.25154988299999997</v>
      </c>
      <c r="V14" s="723">
        <f t="shared" si="16"/>
        <v>-0.25154988299999997</v>
      </c>
      <c r="W14" s="393" t="str">
        <f t="shared" ref="W14:W61" si="29">IF(U14 &gt; 0, V14/U14*100%, "N/A")</f>
        <v>N/A</v>
      </c>
      <c r="X14" s="390">
        <f>SUM(X9:X13)*Cash_DIscount_Rate*-1</f>
        <v>-7.9169960999999997E-2</v>
      </c>
      <c r="Y14" s="390">
        <f>SUM(Y9:Y13)*Cash_DIscount_Rate*-1</f>
        <v>-7.5269960999999996E-2</v>
      </c>
      <c r="Z14" s="390">
        <f>SUM(Z9:Z13)*Cash_DIscount_Rate*-1</f>
        <v>-8.6969961000000012E-2</v>
      </c>
      <c r="AA14" s="390">
        <f t="shared" ref="AA14:AA59" si="30">SUM(X14:Z14)</f>
        <v>-0.24140988300000002</v>
      </c>
      <c r="AB14" s="723">
        <f t="shared" si="17"/>
        <v>-0.24140988300000002</v>
      </c>
      <c r="AC14" s="391" t="str">
        <f t="shared" ref="AC14:AC61" si="31">IF(AA14 &gt; 0, AB14/AA14*100%, "N/A")</f>
        <v>N/A</v>
      </c>
      <c r="AD14" s="399">
        <f t="shared" si="9"/>
        <v>-0.84239953199999995</v>
      </c>
      <c r="AE14" s="392">
        <f t="shared" ca="1" si="18"/>
        <v>-0.118169883</v>
      </c>
      <c r="AF14" s="516">
        <f t="shared" si="19"/>
        <v>-0.84239953199999995</v>
      </c>
      <c r="AG14" s="402"/>
      <c r="AH14" s="390">
        <f>SUM(AH9:AH13)*Cash_DIscount_Rate*-1</f>
        <v>-0.18080376600000003</v>
      </c>
      <c r="AI14" s="390">
        <f>SUM(AI9:AI13)*Cash_DIscount_Rate*-1</f>
        <v>-0.32978376600000003</v>
      </c>
      <c r="AJ14" s="390">
        <f>SUM(AJ9:AJ13)*Cash_DIscount_Rate*-1</f>
        <v>-0.35240376600000001</v>
      </c>
      <c r="AK14" s="390">
        <f>SUM(AK9:AK13)*Cash_DIscount_Rate*-1</f>
        <v>-0.32728776599999998</v>
      </c>
      <c r="AL14" s="399">
        <f t="shared" si="20"/>
        <v>-1.1902790640000001</v>
      </c>
      <c r="AM14" s="403"/>
      <c r="AN14" s="390">
        <f>SUM(AN9:AN13)*Cash_DIscount_Rate*-1</f>
        <v>-0.30443341500000004</v>
      </c>
      <c r="AO14" s="390">
        <f>SUM(AO9:AO13)*Cash_DIscount_Rate*-1</f>
        <v>-0.58835341499999994</v>
      </c>
      <c r="AP14" s="390">
        <f>SUM(AP9:AP13)*Cash_DIscount_Rate*-1</f>
        <v>-0.61643341500000004</v>
      </c>
      <c r="AQ14" s="390">
        <f>SUM(AQ9:AQ13)*Cash_DIscount_Rate*-1</f>
        <v>-0.588977415</v>
      </c>
      <c r="AR14" s="399">
        <f t="shared" si="21"/>
        <v>-2.0981976599999999</v>
      </c>
      <c r="AS14" s="575"/>
      <c r="AT14" s="412"/>
      <c r="AU14" s="412"/>
      <c r="AV14" s="412"/>
    </row>
    <row r="15" spans="2:48">
      <c r="B15" s="372"/>
      <c r="C15" s="397" t="s">
        <v>184</v>
      </c>
      <c r="D15" s="397" t="s">
        <v>185</v>
      </c>
      <c r="F15" s="723"/>
      <c r="G15" s="723"/>
      <c r="H15" s="723"/>
      <c r="I15" s="399">
        <f t="shared" si="25"/>
        <v>0</v>
      </c>
      <c r="J15" s="724">
        <f>+I15</f>
        <v>0</v>
      </c>
      <c r="K15" s="576" t="str">
        <f t="shared" si="2"/>
        <v>N/A</v>
      </c>
      <c r="L15" s="723"/>
      <c r="M15" s="723"/>
      <c r="N15" s="723"/>
      <c r="O15" s="399">
        <f t="shared" si="26"/>
        <v>0</v>
      </c>
      <c r="P15" s="723">
        <f t="shared" si="15"/>
        <v>0</v>
      </c>
      <c r="Q15" s="400" t="str">
        <f t="shared" si="27"/>
        <v>N/A</v>
      </c>
      <c r="R15" s="723"/>
      <c r="S15" s="723"/>
      <c r="T15" s="723"/>
      <c r="U15" s="399">
        <f t="shared" si="28"/>
        <v>0</v>
      </c>
      <c r="V15" s="723">
        <f t="shared" si="16"/>
        <v>0</v>
      </c>
      <c r="W15" s="400" t="str">
        <f t="shared" si="29"/>
        <v>N/A</v>
      </c>
      <c r="X15" s="723"/>
      <c r="Y15" s="723"/>
      <c r="Z15" s="723"/>
      <c r="AA15" s="398">
        <f t="shared" si="30"/>
        <v>0</v>
      </c>
      <c r="AB15" s="723">
        <f t="shared" si="17"/>
        <v>0</v>
      </c>
      <c r="AC15" s="401" t="str">
        <f t="shared" si="31"/>
        <v>N/A</v>
      </c>
      <c r="AD15" s="399">
        <f>I15+O15+U15+AA15</f>
        <v>0</v>
      </c>
      <c r="AE15" s="392">
        <f t="shared" ca="1" si="18"/>
        <v>0</v>
      </c>
      <c r="AF15" s="516">
        <f t="shared" si="19"/>
        <v>0</v>
      </c>
      <c r="AG15" s="402"/>
      <c r="AH15" s="723"/>
      <c r="AI15" s="723"/>
      <c r="AJ15" s="723"/>
      <c r="AK15" s="723"/>
      <c r="AL15" s="399">
        <f t="shared" si="20"/>
        <v>0</v>
      </c>
      <c r="AM15" s="403"/>
      <c r="AN15" s="723"/>
      <c r="AO15" s="723"/>
      <c r="AP15" s="723"/>
      <c r="AQ15" s="723"/>
      <c r="AR15" s="399">
        <f t="shared" si="21"/>
        <v>0</v>
      </c>
      <c r="AS15" s="580"/>
      <c r="AT15" s="420"/>
      <c r="AU15" s="412"/>
      <c r="AV15" s="420"/>
    </row>
    <row r="16" spans="2:48" ht="13">
      <c r="B16" s="372"/>
      <c r="C16" s="404" t="s">
        <v>186</v>
      </c>
      <c r="D16" s="404" t="s">
        <v>187</v>
      </c>
      <c r="E16" s="379"/>
      <c r="F16" s="723"/>
      <c r="G16" s="723"/>
      <c r="H16" s="723"/>
      <c r="I16" s="399">
        <f t="shared" si="25"/>
        <v>0</v>
      </c>
      <c r="J16" s="724">
        <f>+I16</f>
        <v>0</v>
      </c>
      <c r="K16" s="576" t="str">
        <f t="shared" si="2"/>
        <v>N/A</v>
      </c>
      <c r="L16" s="723"/>
      <c r="M16" s="723"/>
      <c r="N16" s="723"/>
      <c r="O16" s="399">
        <f t="shared" si="26"/>
        <v>0</v>
      </c>
      <c r="P16" s="723">
        <f t="shared" si="15"/>
        <v>0</v>
      </c>
      <c r="Q16" s="400" t="str">
        <f t="shared" si="27"/>
        <v>N/A</v>
      </c>
      <c r="R16" s="723"/>
      <c r="S16" s="723"/>
      <c r="T16" s="723"/>
      <c r="U16" s="399">
        <f t="shared" si="28"/>
        <v>0</v>
      </c>
      <c r="V16" s="723">
        <f t="shared" si="16"/>
        <v>0</v>
      </c>
      <c r="W16" s="400" t="str">
        <f t="shared" si="29"/>
        <v>N/A</v>
      </c>
      <c r="X16" s="723"/>
      <c r="Y16" s="723"/>
      <c r="Z16" s="723"/>
      <c r="AA16" s="399">
        <f t="shared" si="30"/>
        <v>0</v>
      </c>
      <c r="AB16" s="723">
        <f t="shared" si="17"/>
        <v>0</v>
      </c>
      <c r="AC16" s="401" t="str">
        <f t="shared" si="31"/>
        <v>N/A</v>
      </c>
      <c r="AD16" s="399">
        <f>I16+O16+U16+AA16</f>
        <v>0</v>
      </c>
      <c r="AE16" s="392">
        <f t="shared" ca="1" si="18"/>
        <v>0</v>
      </c>
      <c r="AF16" s="516">
        <f t="shared" si="19"/>
        <v>0</v>
      </c>
      <c r="AG16" s="402"/>
      <c r="AH16" s="723"/>
      <c r="AI16" s="723"/>
      <c r="AJ16" s="723"/>
      <c r="AK16" s="723"/>
      <c r="AL16" s="399">
        <f t="shared" si="20"/>
        <v>0</v>
      </c>
      <c r="AM16" s="403"/>
      <c r="AN16" s="723"/>
      <c r="AO16" s="723"/>
      <c r="AP16" s="723"/>
      <c r="AQ16" s="723"/>
      <c r="AR16" s="399">
        <f t="shared" si="21"/>
        <v>0</v>
      </c>
      <c r="AS16" s="580"/>
      <c r="AT16" s="420"/>
      <c r="AU16" s="412"/>
      <c r="AV16" s="420"/>
    </row>
    <row r="17" spans="2:65">
      <c r="B17" s="372"/>
      <c r="C17" s="397" t="s">
        <v>292</v>
      </c>
      <c r="D17" s="397" t="s">
        <v>188</v>
      </c>
      <c r="F17" s="724"/>
      <c r="G17" s="724"/>
      <c r="H17" s="724"/>
      <c r="I17" s="399">
        <f t="shared" si="25"/>
        <v>0</v>
      </c>
      <c r="J17" s="724">
        <f>+I17</f>
        <v>0</v>
      </c>
      <c r="K17" s="576" t="str">
        <f t="shared" si="2"/>
        <v>N/A</v>
      </c>
      <c r="L17" s="724"/>
      <c r="M17" s="724"/>
      <c r="N17" s="724"/>
      <c r="O17" s="399">
        <f t="shared" si="26"/>
        <v>0</v>
      </c>
      <c r="P17" s="723">
        <f t="shared" si="15"/>
        <v>0</v>
      </c>
      <c r="Q17" s="400" t="str">
        <f t="shared" si="27"/>
        <v>N/A</v>
      </c>
      <c r="R17" s="724"/>
      <c r="S17" s="724"/>
      <c r="T17" s="724"/>
      <c r="U17" s="399">
        <f t="shared" si="28"/>
        <v>0</v>
      </c>
      <c r="V17" s="723">
        <f t="shared" si="16"/>
        <v>0</v>
      </c>
      <c r="W17" s="400" t="str">
        <f t="shared" si="29"/>
        <v>N/A</v>
      </c>
      <c r="X17" s="724"/>
      <c r="Y17" s="724"/>
      <c r="Z17" s="724"/>
      <c r="AA17" s="399">
        <f t="shared" si="30"/>
        <v>0</v>
      </c>
      <c r="AB17" s="723">
        <f t="shared" si="17"/>
        <v>0</v>
      </c>
      <c r="AC17" s="401" t="str">
        <f t="shared" si="31"/>
        <v>N/A</v>
      </c>
      <c r="AD17" s="399">
        <f>I17+O17+U17+AA17</f>
        <v>0</v>
      </c>
      <c r="AE17" s="392">
        <f t="shared" ca="1" si="18"/>
        <v>0</v>
      </c>
      <c r="AF17" s="516">
        <f t="shared" si="19"/>
        <v>0</v>
      </c>
      <c r="AG17" s="402"/>
      <c r="AH17" s="723"/>
      <c r="AI17" s="723"/>
      <c r="AJ17" s="723"/>
      <c r="AK17" s="723"/>
      <c r="AL17" s="399">
        <f t="shared" si="20"/>
        <v>0</v>
      </c>
      <c r="AM17" s="403"/>
      <c r="AN17" s="723"/>
      <c r="AO17" s="723"/>
      <c r="AP17" s="723"/>
      <c r="AQ17" s="723"/>
      <c r="AR17" s="399">
        <f t="shared" si="21"/>
        <v>0</v>
      </c>
      <c r="AS17" s="580"/>
      <c r="AT17" s="420"/>
      <c r="AU17" s="412"/>
      <c r="AV17" s="420"/>
    </row>
    <row r="18" spans="2:65">
      <c r="B18" s="372"/>
      <c r="C18" s="397"/>
      <c r="D18" s="397"/>
      <c r="F18" s="399"/>
      <c r="G18" s="399"/>
      <c r="H18" s="399"/>
      <c r="I18" s="399"/>
      <c r="J18" s="399"/>
      <c r="K18" s="576"/>
      <c r="L18" s="399"/>
      <c r="M18" s="399"/>
      <c r="N18" s="399"/>
      <c r="O18" s="399"/>
      <c r="P18" s="399"/>
      <c r="Q18" s="400"/>
      <c r="R18" s="399"/>
      <c r="S18" s="399"/>
      <c r="T18" s="399"/>
      <c r="U18" s="399"/>
      <c r="V18" s="399"/>
      <c r="W18" s="400"/>
      <c r="X18" s="399"/>
      <c r="Y18" s="399"/>
      <c r="Z18" s="399"/>
      <c r="AA18" s="399"/>
      <c r="AB18" s="399"/>
      <c r="AC18" s="401"/>
      <c r="AD18" s="399"/>
      <c r="AE18" s="606"/>
      <c r="AF18" s="607"/>
      <c r="AG18" s="402"/>
      <c r="AH18" s="399"/>
      <c r="AI18" s="399"/>
      <c r="AJ18" s="399"/>
      <c r="AK18" s="399"/>
      <c r="AL18" s="399"/>
      <c r="AM18" s="403"/>
      <c r="AN18" s="399"/>
      <c r="AO18" s="399"/>
      <c r="AP18" s="399"/>
      <c r="AQ18" s="399"/>
      <c r="AR18" s="399"/>
      <c r="AS18" s="580"/>
      <c r="AT18" s="420"/>
      <c r="AU18" s="412"/>
      <c r="AV18" s="420"/>
    </row>
    <row r="19" spans="2:65">
      <c r="B19" s="372"/>
      <c r="C19" s="405"/>
      <c r="D19" s="405"/>
      <c r="F19" s="406"/>
      <c r="G19" s="406"/>
      <c r="H19" s="406"/>
      <c r="I19" s="406"/>
      <c r="J19" s="406"/>
      <c r="K19" s="581"/>
      <c r="L19" s="406"/>
      <c r="M19" s="406"/>
      <c r="N19" s="406"/>
      <c r="O19" s="406"/>
      <c r="P19" s="406"/>
      <c r="Q19" s="582"/>
      <c r="R19" s="406"/>
      <c r="S19" s="406"/>
      <c r="T19" s="406"/>
      <c r="U19" s="406"/>
      <c r="V19" s="406"/>
      <c r="W19" s="582"/>
      <c r="X19" s="406"/>
      <c r="Y19" s="406"/>
      <c r="Z19" s="406"/>
      <c r="AA19" s="406"/>
      <c r="AB19" s="406"/>
      <c r="AC19" s="583"/>
      <c r="AD19" s="399"/>
      <c r="AE19" s="606"/>
      <c r="AF19" s="607"/>
      <c r="AG19" s="402"/>
      <c r="AH19" s="399"/>
      <c r="AI19" s="518"/>
      <c r="AJ19" s="518"/>
      <c r="AK19" s="518"/>
      <c r="AL19" s="518"/>
      <c r="AM19" s="403"/>
      <c r="AN19" s="399"/>
      <c r="AO19" s="518"/>
      <c r="AP19" s="518"/>
      <c r="AQ19" s="518"/>
      <c r="AR19" s="518"/>
      <c r="AS19" s="580"/>
      <c r="AT19" s="420"/>
      <c r="AU19" s="412"/>
      <c r="AV19" s="420"/>
    </row>
    <row r="20" spans="2:65" s="408" customFormat="1" ht="13">
      <c r="B20" s="407"/>
      <c r="C20" s="791" t="s">
        <v>189</v>
      </c>
      <c r="D20" s="791" t="s">
        <v>83</v>
      </c>
      <c r="E20" s="374"/>
      <c r="F20" s="793">
        <f>SUM(F14:F19)+F8</f>
        <v>1.2402450390000002</v>
      </c>
      <c r="G20" s="793">
        <f>SUM(G14:G19)+G8</f>
        <v>3.6215250390000002</v>
      </c>
      <c r="H20" s="793">
        <f>SUM(H14:H19)+H8</f>
        <v>10.170045039</v>
      </c>
      <c r="I20" s="793">
        <f>SUM(I14:I19)+I8</f>
        <v>15.031815117000001</v>
      </c>
      <c r="J20" s="793">
        <f>SUM(J14:J19)+J8</f>
        <v>30.881830117</v>
      </c>
      <c r="K20" s="794">
        <f>IF(I20 &lt;&gt; 0, (J20/I20)*100%, "N/A")</f>
        <v>2.0544312098460198</v>
      </c>
      <c r="L20" s="793">
        <f>SUM(L14:L19)+L8</f>
        <v>7.7887650390000003</v>
      </c>
      <c r="M20" s="793">
        <f>SUM(M14:M19)+M8</f>
        <v>8.4833050390000011</v>
      </c>
      <c r="N20" s="793">
        <f>SUM(N14:N19)+N8</f>
        <v>13.146645039000001</v>
      </c>
      <c r="O20" s="793">
        <f>SUM(O14:O19)+O8</f>
        <v>29.418715117000001</v>
      </c>
      <c r="P20" s="793">
        <f>SUM(P14:P19)+P8</f>
        <v>29.418715117000001</v>
      </c>
      <c r="Q20" s="795">
        <f t="shared" si="27"/>
        <v>1</v>
      </c>
      <c r="R20" s="793">
        <f>SUM(R14:R19)+R8</f>
        <v>8.1856450390000006</v>
      </c>
      <c r="S20" s="793">
        <f>SUM(S14:S19)+S8</f>
        <v>8.8801850390000006</v>
      </c>
      <c r="T20" s="793">
        <f>SUM(T14:T19)+T8</f>
        <v>14.932605039</v>
      </c>
      <c r="U20" s="793">
        <f>SUM(U14:U19)+U8</f>
        <v>31.998435117000003</v>
      </c>
      <c r="V20" s="793">
        <f>SUM(V14:V19)+V8</f>
        <v>31.998435117000003</v>
      </c>
      <c r="W20" s="795">
        <f t="shared" si="29"/>
        <v>1</v>
      </c>
      <c r="X20" s="793">
        <f>SUM(X14:X19)+X8</f>
        <v>10.070825039000001</v>
      </c>
      <c r="Y20" s="793">
        <f>SUM(Y14:Y19)+Y8</f>
        <v>9.5747250390000005</v>
      </c>
      <c r="Z20" s="793">
        <f>SUM(Z14:Z19)+Z8</f>
        <v>11.063025039000003</v>
      </c>
      <c r="AA20" s="793">
        <f>SUM(AA14:AA19)+AA8</f>
        <v>30.708575117000006</v>
      </c>
      <c r="AB20" s="793">
        <f>SUM(AB8:AB19)</f>
        <v>61.658560117000007</v>
      </c>
      <c r="AC20" s="796">
        <f t="shared" si="31"/>
        <v>2.0078613182826044</v>
      </c>
      <c r="AD20" s="793">
        <f>I20+O20+U20+AA20</f>
        <v>107.15754046800001</v>
      </c>
      <c r="AE20" s="793">
        <f ca="1">SUM(AE14:AE19)+AE8</f>
        <v>30.881830117</v>
      </c>
      <c r="AF20" s="793">
        <f>SUM(AF14:AF19)+AF8</f>
        <v>123.00755546799999</v>
      </c>
      <c r="AG20" s="584"/>
      <c r="AH20" s="798">
        <f>SUM(AH14:AH19)+AH8</f>
        <v>22.999166234000004</v>
      </c>
      <c r="AI20" s="798">
        <f t="shared" ref="AI20:AK20" si="32">SUM(AI14:AI19)+AI8</f>
        <v>41.950186234000007</v>
      </c>
      <c r="AJ20" s="798">
        <f t="shared" si="32"/>
        <v>44.827566234000003</v>
      </c>
      <c r="AK20" s="798">
        <f t="shared" si="32"/>
        <v>41.632682234000001</v>
      </c>
      <c r="AL20" s="798">
        <f>SUM(AL14:AL19)+AL8</f>
        <v>151.409600936</v>
      </c>
      <c r="AM20" s="403"/>
      <c r="AN20" s="798">
        <f>SUM(AN14:AN19)+AN8</f>
        <v>38.725491585000007</v>
      </c>
      <c r="AO20" s="798">
        <f t="shared" ref="AO20" si="33">SUM(AO14:AO19)+AO8</f>
        <v>74.841571584999997</v>
      </c>
      <c r="AP20" s="798">
        <f t="shared" ref="AP20" si="34">SUM(AP14:AP19)+AP8</f>
        <v>78.413491585000003</v>
      </c>
      <c r="AQ20" s="798">
        <f t="shared" ref="AQ20" si="35">SUM(AQ14:AQ19)+AQ8</f>
        <v>74.920947585000008</v>
      </c>
      <c r="AR20" s="798">
        <f>SUM(AR14:AR19)+AR8</f>
        <v>266.90150234000004</v>
      </c>
      <c r="AS20" s="585"/>
      <c r="AT20" s="428"/>
      <c r="AU20" s="412"/>
      <c r="AV20" s="428"/>
    </row>
    <row r="21" spans="2:65" s="415" customFormat="1" ht="21.75" customHeight="1">
      <c r="B21" s="409"/>
      <c r="C21" s="410" t="s">
        <v>190</v>
      </c>
      <c r="D21" s="410" t="s">
        <v>191</v>
      </c>
      <c r="E21" s="503"/>
      <c r="F21" s="411">
        <f>SUM(F22:F23)</f>
        <v>0.6</v>
      </c>
      <c r="G21" s="412">
        <f>SUM(G22:G23)</f>
        <v>1.65</v>
      </c>
      <c r="H21" s="412">
        <f>SUM(H22:H23)</f>
        <v>6.35</v>
      </c>
      <c r="I21" s="412">
        <f>SUM(I22:I23)</f>
        <v>8.6</v>
      </c>
      <c r="J21" s="412">
        <f>SUM(J22:J23)</f>
        <v>8.6</v>
      </c>
      <c r="K21" s="586">
        <f t="shared" ref="K21:K65" si="36">IF(I21 &lt;&gt; 0, (J21/I21)*100%, "N/A")</f>
        <v>1</v>
      </c>
      <c r="L21" s="412">
        <f>SUM(L22:L23)</f>
        <v>3.4</v>
      </c>
      <c r="M21" s="412">
        <f>SUM(M22:M23)</f>
        <v>4.0999999999999996</v>
      </c>
      <c r="N21" s="412">
        <f>SUM(N22:N23)</f>
        <v>4.0999999999999996</v>
      </c>
      <c r="O21" s="412">
        <f>SUM(O22:O23)</f>
        <v>11.6</v>
      </c>
      <c r="P21" s="412">
        <f>SUM(P22:P23)</f>
        <v>11.6</v>
      </c>
      <c r="Q21" s="413">
        <f t="shared" si="27"/>
        <v>1</v>
      </c>
      <c r="R21" s="412">
        <f>SUM(R22:R23)</f>
        <v>4.0999999999999996</v>
      </c>
      <c r="S21" s="412">
        <f>SUM(S22:S23)</f>
        <v>4.45</v>
      </c>
      <c r="T21" s="412">
        <f>SUM(T22:T23)</f>
        <v>4.8</v>
      </c>
      <c r="U21" s="412">
        <f>SUM(U22:U23)</f>
        <v>13.350000000000001</v>
      </c>
      <c r="V21" s="412">
        <f>SUM(V22:V23)</f>
        <v>13.350000000000001</v>
      </c>
      <c r="W21" s="413">
        <f t="shared" si="29"/>
        <v>1</v>
      </c>
      <c r="X21" s="412">
        <f>SUM(X22:X23)</f>
        <v>4.8</v>
      </c>
      <c r="Y21" s="412">
        <f>SUM(Y22:Y23)</f>
        <v>4.8</v>
      </c>
      <c r="Z21" s="412">
        <f>SUM(Z22:Z23)</f>
        <v>3.0500000000000003</v>
      </c>
      <c r="AA21" s="412">
        <f>SUM(AA22:AA23)</f>
        <v>12.65</v>
      </c>
      <c r="AB21" s="1301">
        <f>SUM(AB22:AB23)</f>
        <v>12.65</v>
      </c>
      <c r="AC21" s="414">
        <f t="shared" si="31"/>
        <v>1</v>
      </c>
      <c r="AD21" s="1301">
        <f>SUM(AD22:AD23)</f>
        <v>46.2</v>
      </c>
      <c r="AE21" s="1301">
        <f ca="1">SUM(AE22:AE23)</f>
        <v>8.6</v>
      </c>
      <c r="AF21" s="1301">
        <f>SUM(AF22:AF23)</f>
        <v>46.2</v>
      </c>
      <c r="AG21" s="502"/>
      <c r="AH21" s="617">
        <f>SUM(AH22:AH23)</f>
        <v>0.6</v>
      </c>
      <c r="AI21" s="617">
        <f t="shared" ref="AI21:AK21" si="37">SUM(AI22:AI23)</f>
        <v>0.6</v>
      </c>
      <c r="AJ21" s="617">
        <f t="shared" si="37"/>
        <v>3.6</v>
      </c>
      <c r="AK21" s="617">
        <f t="shared" si="37"/>
        <v>1.6</v>
      </c>
      <c r="AL21" s="617">
        <f>SUM(AH21:AK21)</f>
        <v>6.4</v>
      </c>
      <c r="AM21" s="502"/>
      <c r="AN21" s="617">
        <f>SUM(AN22:AN23)</f>
        <v>4.9000000000000004</v>
      </c>
      <c r="AO21" s="617">
        <f t="shared" ref="AO21" si="38">SUM(AO22:AO23)</f>
        <v>0.9</v>
      </c>
      <c r="AP21" s="617">
        <f t="shared" ref="AP21" si="39">SUM(AP22:AP23)</f>
        <v>0.9</v>
      </c>
      <c r="AQ21" s="617">
        <f t="shared" ref="AQ21" si="40">SUM(AQ22:AQ23)</f>
        <v>0.9</v>
      </c>
      <c r="AR21" s="617">
        <f>SUM(AN21:AQ21)</f>
        <v>7.6000000000000014</v>
      </c>
      <c r="AS21" s="587"/>
      <c r="AT21" s="412"/>
      <c r="AU21" s="412"/>
      <c r="AV21" s="588"/>
    </row>
    <row r="22" spans="2:65" ht="12" customHeight="1" outlineLevel="1">
      <c r="B22" s="372"/>
      <c r="C22" s="404" t="s">
        <v>192</v>
      </c>
      <c r="D22" s="404" t="s">
        <v>193</v>
      </c>
      <c r="F22" s="416">
        <f>+Revenues!E93/$N$3</f>
        <v>0.6</v>
      </c>
      <c r="G22" s="416">
        <f>+Revenues!F93/$N$3</f>
        <v>1.65</v>
      </c>
      <c r="H22" s="416">
        <f>+Revenues!G93/$N$3</f>
        <v>2.35</v>
      </c>
      <c r="I22" s="416">
        <f t="shared" si="25"/>
        <v>4.5999999999999996</v>
      </c>
      <c r="J22" s="723">
        <f>+I22</f>
        <v>4.5999999999999996</v>
      </c>
      <c r="K22" s="589">
        <f t="shared" si="36"/>
        <v>1</v>
      </c>
      <c r="L22" s="416">
        <f>+Revenues!H93/$N$3</f>
        <v>3.4</v>
      </c>
      <c r="M22" s="416">
        <f>+Revenues!I93/$N$3</f>
        <v>4.0999999999999996</v>
      </c>
      <c r="N22" s="416">
        <f>+Revenues!J93/$N$3</f>
        <v>4.0999999999999996</v>
      </c>
      <c r="O22" s="416">
        <f t="shared" si="26"/>
        <v>11.6</v>
      </c>
      <c r="P22" s="723">
        <f>+O22</f>
        <v>11.6</v>
      </c>
      <c r="Q22" s="589">
        <f t="shared" si="27"/>
        <v>1</v>
      </c>
      <c r="R22" s="416">
        <f>+Revenues!K93/$N$3</f>
        <v>4.0999999999999996</v>
      </c>
      <c r="S22" s="416">
        <f>+Revenues!L93/$N$3</f>
        <v>4.45</v>
      </c>
      <c r="T22" s="416">
        <f>+Revenues!M93/$N$3</f>
        <v>4.8</v>
      </c>
      <c r="U22" s="416">
        <f t="shared" si="28"/>
        <v>13.350000000000001</v>
      </c>
      <c r="V22" s="723">
        <f>+U22</f>
        <v>13.350000000000001</v>
      </c>
      <c r="W22" s="417">
        <f t="shared" si="29"/>
        <v>1</v>
      </c>
      <c r="X22" s="416">
        <f>+Revenues!N93/$N$3</f>
        <v>4.8</v>
      </c>
      <c r="Y22" s="416">
        <f>+Revenues!O93/$N$3</f>
        <v>4.8</v>
      </c>
      <c r="Z22" s="416">
        <f>+Revenues!P93/$N$3</f>
        <v>3.0500000000000003</v>
      </c>
      <c r="AA22" s="416">
        <f t="shared" si="30"/>
        <v>12.65</v>
      </c>
      <c r="AB22" s="1302">
        <f>+AA22</f>
        <v>12.65</v>
      </c>
      <c r="AC22" s="418">
        <f t="shared" si="31"/>
        <v>1</v>
      </c>
      <c r="AD22" s="416">
        <f>I22+O22+U22+AA22</f>
        <v>42.2</v>
      </c>
      <c r="AE22" s="522">
        <f t="shared" ref="AE22:AE23" ca="1" si="41">SUMIF($I$4:$AD$4,"x",I22:AB22)</f>
        <v>4.5999999999999996</v>
      </c>
      <c r="AF22" s="516">
        <f t="shared" ref="AF22:AF23" si="42">SUM(J22,P22,V22,AB22)</f>
        <v>42.2</v>
      </c>
      <c r="AG22" s="396"/>
      <c r="AH22" s="399">
        <f>SUM(Revenues!S88:U88)/$N$3</f>
        <v>0.6</v>
      </c>
      <c r="AI22" s="399">
        <f>SUM(Revenues!V88:X88)/$N$3</f>
        <v>0.6</v>
      </c>
      <c r="AJ22" s="399">
        <f>SUM(Revenues!Y88:AA88)/$N$3</f>
        <v>0.6</v>
      </c>
      <c r="AK22" s="399">
        <f>SUM(Revenues!AB88:AD88)/$N$3</f>
        <v>0.6</v>
      </c>
      <c r="AL22" s="399">
        <f>SUM(AH22:AK22)</f>
        <v>2.4</v>
      </c>
      <c r="AM22" s="396"/>
      <c r="AN22" s="399">
        <f>SUM(Revenues!AG88:AI88)/$N$3</f>
        <v>0.9</v>
      </c>
      <c r="AO22" s="399">
        <f>SUM(Revenues!AJ88:AL88)/$N$3</f>
        <v>0.9</v>
      </c>
      <c r="AP22" s="399">
        <f>SUM(Revenues!AM88:AO88)/$N$3</f>
        <v>0.9</v>
      </c>
      <c r="AQ22" s="399">
        <f>SUM(Revenues!AP88:AR88)/$N$3</f>
        <v>0.9</v>
      </c>
      <c r="AR22" s="399">
        <f>SUM(AN22:AQ22)</f>
        <v>3.6</v>
      </c>
      <c r="AS22" s="580"/>
      <c r="AT22" s="590"/>
      <c r="AU22" s="412"/>
      <c r="AV22" s="420"/>
      <c r="AW22" s="420"/>
      <c r="AX22" s="420"/>
      <c r="AY22" s="420"/>
      <c r="BA22" s="419"/>
      <c r="BB22" s="420"/>
      <c r="BC22" s="420"/>
      <c r="BD22" s="420"/>
      <c r="BE22" s="420"/>
      <c r="BF22" s="420"/>
      <c r="BH22" s="421"/>
      <c r="BI22" s="420"/>
      <c r="BJ22" s="420"/>
      <c r="BK22" s="420"/>
      <c r="BL22" s="420"/>
      <c r="BM22" s="420"/>
    </row>
    <row r="23" spans="2:65" ht="12" customHeight="1" outlineLevel="1">
      <c r="B23" s="372"/>
      <c r="C23" s="422" t="s">
        <v>194</v>
      </c>
      <c r="D23" s="422" t="s">
        <v>195</v>
      </c>
      <c r="F23" s="423">
        <f>+'Development Costs'!G65</f>
        <v>0</v>
      </c>
      <c r="G23" s="423">
        <f>+'Development Costs'!H65</f>
        <v>0</v>
      </c>
      <c r="H23" s="423">
        <f>+'Development Costs'!I65</f>
        <v>4</v>
      </c>
      <c r="I23" s="423">
        <f t="shared" si="25"/>
        <v>4</v>
      </c>
      <c r="J23" s="723">
        <f>+I23</f>
        <v>4</v>
      </c>
      <c r="K23" s="591">
        <f t="shared" si="36"/>
        <v>1</v>
      </c>
      <c r="L23" s="423">
        <f>+'Development Costs'!J65</f>
        <v>0</v>
      </c>
      <c r="M23" s="423">
        <f>+'Development Costs'!K65</f>
        <v>0</v>
      </c>
      <c r="N23" s="423">
        <f>+'Development Costs'!L65</f>
        <v>0</v>
      </c>
      <c r="O23" s="423">
        <f t="shared" si="26"/>
        <v>0</v>
      </c>
      <c r="P23" s="723">
        <f>+O23</f>
        <v>0</v>
      </c>
      <c r="Q23" s="424" t="str">
        <f t="shared" si="27"/>
        <v>N/A</v>
      </c>
      <c r="R23" s="423">
        <f>+'Development Costs'!M65</f>
        <v>0</v>
      </c>
      <c r="S23" s="423">
        <f>+'Development Costs'!N65</f>
        <v>0</v>
      </c>
      <c r="T23" s="423">
        <f>+'Development Costs'!O65</f>
        <v>0</v>
      </c>
      <c r="U23" s="423">
        <f t="shared" si="28"/>
        <v>0</v>
      </c>
      <c r="V23" s="723">
        <f>+U23</f>
        <v>0</v>
      </c>
      <c r="W23" s="424" t="str">
        <f t="shared" si="29"/>
        <v>N/A</v>
      </c>
      <c r="X23" s="423">
        <f>+'Development Costs'!P65</f>
        <v>0</v>
      </c>
      <c r="Y23" s="423">
        <f>+'Development Costs'!Q65</f>
        <v>0</v>
      </c>
      <c r="Z23" s="423">
        <f>+'Development Costs'!R65</f>
        <v>0</v>
      </c>
      <c r="AA23" s="423">
        <f t="shared" si="30"/>
        <v>0</v>
      </c>
      <c r="AB23" s="723">
        <f>+AA23</f>
        <v>0</v>
      </c>
      <c r="AC23" s="425" t="str">
        <f t="shared" si="31"/>
        <v>N/A</v>
      </c>
      <c r="AD23" s="423">
        <f>I23+O23+U23+AA23</f>
        <v>4</v>
      </c>
      <c r="AE23" s="392">
        <f t="shared" ca="1" si="41"/>
        <v>4</v>
      </c>
      <c r="AF23" s="516">
        <f t="shared" si="42"/>
        <v>4</v>
      </c>
      <c r="AG23" s="396"/>
      <c r="AH23" s="399">
        <f>SUM('Development Costs'!U65:W65)</f>
        <v>0</v>
      </c>
      <c r="AI23" s="399">
        <f>SUM('Development Costs'!X65:Z65)</f>
        <v>0</v>
      </c>
      <c r="AJ23" s="399">
        <f>SUM('Development Costs'!AA65:AC65)</f>
        <v>3</v>
      </c>
      <c r="AK23" s="399">
        <f>SUM('Development Costs'!AD65:AF65)</f>
        <v>1</v>
      </c>
      <c r="AL23" s="399">
        <f>SUM(AH23:AK23)</f>
        <v>4</v>
      </c>
      <c r="AM23" s="396"/>
      <c r="AN23" s="399">
        <f>SUM('Development Costs'!AI65:AK65)</f>
        <v>4</v>
      </c>
      <c r="AO23" s="399">
        <f>SUM('Development Costs'!AL65:AN65)</f>
        <v>0</v>
      </c>
      <c r="AP23" s="399">
        <f>SUM('Development Costs'!AO65:AQ65)</f>
        <v>0</v>
      </c>
      <c r="AQ23" s="399">
        <f>SUM('Development Costs'!AR65:AT65)</f>
        <v>0</v>
      </c>
      <c r="AR23" s="399">
        <f>SUM(AN23:AQ23)</f>
        <v>4</v>
      </c>
      <c r="AS23" s="580"/>
      <c r="AT23" s="590"/>
      <c r="AU23" s="412"/>
      <c r="AV23" s="420"/>
      <c r="AW23" s="420"/>
      <c r="AX23" s="420"/>
      <c r="AY23" s="420"/>
      <c r="BA23" s="419"/>
      <c r="BB23" s="420"/>
      <c r="BC23" s="420"/>
      <c r="BD23" s="420"/>
      <c r="BE23" s="420"/>
      <c r="BF23" s="420"/>
      <c r="BH23" s="421"/>
      <c r="BI23" s="420"/>
      <c r="BJ23" s="420"/>
      <c r="BK23" s="420"/>
      <c r="BL23" s="420"/>
      <c r="BM23" s="420"/>
    </row>
    <row r="24" spans="2:65" s="408" customFormat="1" ht="13">
      <c r="B24" s="407"/>
      <c r="C24" s="791" t="s">
        <v>196</v>
      </c>
      <c r="D24" s="791" t="s">
        <v>197</v>
      </c>
      <c r="E24" s="374"/>
      <c r="F24" s="793">
        <f>F20-F22-F23</f>
        <v>0.64024503900000018</v>
      </c>
      <c r="G24" s="793">
        <f>G20-G22-G23</f>
        <v>1.9715250390000003</v>
      </c>
      <c r="H24" s="793">
        <f>H20-H22-H23</f>
        <v>3.820045039</v>
      </c>
      <c r="I24" s="798">
        <f>I20-I21</f>
        <v>6.4318151170000011</v>
      </c>
      <c r="J24" s="798">
        <f>J20-J21</f>
        <v>22.281830116999998</v>
      </c>
      <c r="K24" s="799">
        <f t="shared" si="36"/>
        <v>3.4643144604866905</v>
      </c>
      <c r="L24" s="798">
        <f>L20-L22-L23</f>
        <v>4.3887650390000008</v>
      </c>
      <c r="M24" s="798">
        <f>M20-M22-M23</f>
        <v>4.3833050390000015</v>
      </c>
      <c r="N24" s="798">
        <f>N20-N22-N23</f>
        <v>9.0466450390000013</v>
      </c>
      <c r="O24" s="798">
        <f t="shared" si="26"/>
        <v>17.818715117000004</v>
      </c>
      <c r="P24" s="798">
        <f>P20-P21</f>
        <v>17.818715117000004</v>
      </c>
      <c r="Q24" s="800">
        <f t="shared" si="27"/>
        <v>1</v>
      </c>
      <c r="R24" s="798">
        <f>R20-R22-R23</f>
        <v>4.085645039000001</v>
      </c>
      <c r="S24" s="798">
        <f>S20-S22-S23</f>
        <v>4.4301850390000004</v>
      </c>
      <c r="T24" s="798">
        <f>T20-T22-T23</f>
        <v>10.132605039000001</v>
      </c>
      <c r="U24" s="798">
        <f t="shared" si="28"/>
        <v>18.648435117000002</v>
      </c>
      <c r="V24" s="798">
        <f>V20-V21</f>
        <v>18.648435117000002</v>
      </c>
      <c r="W24" s="800">
        <f t="shared" si="29"/>
        <v>1</v>
      </c>
      <c r="X24" s="798">
        <f>X20-X22-X23</f>
        <v>5.2708250390000009</v>
      </c>
      <c r="Y24" s="798">
        <f>Y20-Y22-Y23</f>
        <v>4.7747250390000007</v>
      </c>
      <c r="Z24" s="798">
        <f>Z20-Z22-Z23</f>
        <v>8.0130250390000022</v>
      </c>
      <c r="AA24" s="798">
        <f t="shared" si="30"/>
        <v>18.058575117000004</v>
      </c>
      <c r="AB24" s="798">
        <f>AB20-AB21</f>
        <v>49.008560117000009</v>
      </c>
      <c r="AC24" s="801">
        <f t="shared" si="31"/>
        <v>2.713866393083487</v>
      </c>
      <c r="AD24" s="798">
        <f>I24+O24+U24+AA24</f>
        <v>60.957540468000005</v>
      </c>
      <c r="AE24" s="797">
        <f t="shared" ref="AE14:AE65" si="43">AB24+V24+P24+J24</f>
        <v>107.757540468</v>
      </c>
      <c r="AF24" s="797">
        <f t="shared" ref="AF9:AF43" si="44">SUMIF($I$4:$AE$4,"x",I24:AE24)</f>
        <v>22.281830116999998</v>
      </c>
      <c r="AG24" s="403"/>
      <c r="AH24" s="798">
        <f>+AH20-AH21</f>
        <v>22.399166234000003</v>
      </c>
      <c r="AI24" s="798">
        <f t="shared" ref="AI24:AL24" si="45">+AI20-AI21</f>
        <v>41.350186234000006</v>
      </c>
      <c r="AJ24" s="798">
        <f t="shared" si="45"/>
        <v>41.227566234000001</v>
      </c>
      <c r="AK24" s="798">
        <f t="shared" si="45"/>
        <v>40.032682233999999</v>
      </c>
      <c r="AL24" s="798">
        <f t="shared" si="45"/>
        <v>145.009600936</v>
      </c>
      <c r="AM24" s="403"/>
      <c r="AN24" s="798">
        <f>+AN20-AN21</f>
        <v>33.825491585000009</v>
      </c>
      <c r="AO24" s="798">
        <f t="shared" ref="AO24:AR24" si="46">+AO20-AO21</f>
        <v>73.941571584999991</v>
      </c>
      <c r="AP24" s="798">
        <f t="shared" si="46"/>
        <v>77.513491584999997</v>
      </c>
      <c r="AQ24" s="798">
        <f t="shared" si="46"/>
        <v>74.020947585000002</v>
      </c>
      <c r="AR24" s="798">
        <f t="shared" si="46"/>
        <v>259.30150234000001</v>
      </c>
      <c r="AS24" s="585"/>
      <c r="AT24" s="428"/>
      <c r="AU24" s="412"/>
      <c r="AV24" s="428"/>
    </row>
    <row r="25" spans="2:65" s="376" customFormat="1" ht="18" customHeight="1">
      <c r="B25" s="389"/>
      <c r="C25" s="410" t="s">
        <v>198</v>
      </c>
      <c r="D25" s="410" t="s">
        <v>199</v>
      </c>
      <c r="E25" s="379"/>
      <c r="F25" s="411">
        <f ca="1">SUM(F26:F28)</f>
        <v>22.27</v>
      </c>
      <c r="G25" s="412">
        <f ca="1">SUM(G26:G28)</f>
        <v>22.27</v>
      </c>
      <c r="H25" s="412">
        <f ca="1">SUM(H26:H28)</f>
        <v>22.27</v>
      </c>
      <c r="I25" s="523">
        <f ca="1">SUM(I26:I28)</f>
        <v>66.81</v>
      </c>
      <c r="J25" s="1305">
        <f ca="1">SUM(J26:J28)</f>
        <v>66.81</v>
      </c>
      <c r="K25" s="592">
        <f t="shared" ca="1" si="36"/>
        <v>1</v>
      </c>
      <c r="L25" s="524">
        <f ca="1">SUM(L26:L28)</f>
        <v>22.27</v>
      </c>
      <c r="M25" s="524">
        <f ca="1">SUM(M26:M28)</f>
        <v>22.27</v>
      </c>
      <c r="N25" s="524">
        <f ca="1">SUM(N26:N28)</f>
        <v>22.27</v>
      </c>
      <c r="O25" s="524">
        <f ca="1">SUM(O26:O28)</f>
        <v>66.81</v>
      </c>
      <c r="P25" s="1305">
        <f ca="1">SUM(P26:P28)</f>
        <v>66.81</v>
      </c>
      <c r="Q25" s="525">
        <f t="shared" ca="1" si="27"/>
        <v>1</v>
      </c>
      <c r="R25" s="524">
        <f ca="1">SUM(R26:R28)</f>
        <v>22.27</v>
      </c>
      <c r="S25" s="524">
        <f ca="1">SUM(S26:S28)</f>
        <v>22.27</v>
      </c>
      <c r="T25" s="524">
        <f ca="1">SUM(T26:T28)</f>
        <v>22.27</v>
      </c>
      <c r="U25" s="524">
        <f ca="1">SUM(U26:U28)</f>
        <v>66.81</v>
      </c>
      <c r="V25" s="1305">
        <f ca="1">SUM(V26:V28)</f>
        <v>66.81</v>
      </c>
      <c r="W25" s="525">
        <f t="shared" ca="1" si="29"/>
        <v>1</v>
      </c>
      <c r="X25" s="524">
        <f ca="1">SUM(X26:X28)</f>
        <v>22.27</v>
      </c>
      <c r="Y25" s="524">
        <f ca="1">SUM(Y26:Y28)</f>
        <v>22.27</v>
      </c>
      <c r="Z25" s="524">
        <f ca="1">SUM(Z26:Z28)</f>
        <v>22.27</v>
      </c>
      <c r="AA25" s="524">
        <f ca="1">SUM(AA26:AA28)</f>
        <v>66.81</v>
      </c>
      <c r="AB25" s="1305">
        <f ca="1">SUM(AB26:AB28)</f>
        <v>66.81</v>
      </c>
      <c r="AC25" s="525">
        <f t="shared" ca="1" si="31"/>
        <v>1</v>
      </c>
      <c r="AD25" s="1305">
        <f ca="1">SUM(AD26:AD28)</f>
        <v>267.24</v>
      </c>
      <c r="AE25" s="1305">
        <f ca="1">SUM(AE26:AE28)</f>
        <v>66.81</v>
      </c>
      <c r="AF25" s="1305">
        <f ca="1">SUM(AF26:AF28)</f>
        <v>267.24</v>
      </c>
      <c r="AG25" s="611"/>
      <c r="AH25" s="617">
        <f ca="1">SUM(AH26:AH28)</f>
        <v>68.146199999999993</v>
      </c>
      <c r="AI25" s="617">
        <f t="shared" ref="AI25:AL25" ca="1" si="47">SUM(AI26:AI28)</f>
        <v>68.146199999999993</v>
      </c>
      <c r="AJ25" s="617">
        <f t="shared" ca="1" si="47"/>
        <v>68.146199999999993</v>
      </c>
      <c r="AK25" s="617">
        <f t="shared" ca="1" si="47"/>
        <v>68.146199999999993</v>
      </c>
      <c r="AL25" s="617">
        <f t="shared" ca="1" si="47"/>
        <v>272.58479999999997</v>
      </c>
      <c r="AM25" s="611"/>
      <c r="AN25" s="617">
        <f ca="1">SUM(AN26:AN28)</f>
        <v>71.553510000000003</v>
      </c>
      <c r="AO25" s="617">
        <f t="shared" ref="AO25" ca="1" si="48">SUM(AO26:AO28)</f>
        <v>71.553510000000003</v>
      </c>
      <c r="AP25" s="617">
        <f t="shared" ref="AP25" ca="1" si="49">SUM(AP26:AP28)</f>
        <v>71.553510000000003</v>
      </c>
      <c r="AQ25" s="617">
        <f t="shared" ref="AQ25" ca="1" si="50">SUM(AQ26:AQ28)</f>
        <v>71.553510000000003</v>
      </c>
      <c r="AR25" s="617">
        <f t="shared" ref="AR25" ca="1" si="51">SUM(AR26:AR28)</f>
        <v>286.21404000000001</v>
      </c>
      <c r="AS25" s="575"/>
      <c r="AT25" s="412"/>
      <c r="AU25" s="412"/>
      <c r="AV25" s="412"/>
    </row>
    <row r="26" spans="2:65" ht="14" customHeight="1" outlineLevel="1">
      <c r="B26" s="372"/>
      <c r="C26" s="404" t="s">
        <v>200</v>
      </c>
      <c r="D26" s="404" t="s">
        <v>286</v>
      </c>
      <c r="F26" s="416">
        <f ca="1">+Payroll!J38</f>
        <v>10</v>
      </c>
      <c r="G26" s="416">
        <f ca="1">+Payroll!K38</f>
        <v>10</v>
      </c>
      <c r="H26" s="416">
        <f ca="1">+Payroll!L38</f>
        <v>10</v>
      </c>
      <c r="I26" s="490">
        <f t="shared" ca="1" si="25"/>
        <v>30</v>
      </c>
      <c r="J26" s="727">
        <f ca="1">+I26</f>
        <v>30</v>
      </c>
      <c r="K26" s="593">
        <f t="shared" ca="1" si="36"/>
        <v>1</v>
      </c>
      <c r="L26" s="416">
        <f ca="1">+Payroll!M38</f>
        <v>10</v>
      </c>
      <c r="M26" s="416">
        <f ca="1">+Payroll!N38</f>
        <v>10</v>
      </c>
      <c r="N26" s="416">
        <f ca="1">+Payroll!O38</f>
        <v>10</v>
      </c>
      <c r="O26" s="490">
        <f t="shared" ca="1" si="26"/>
        <v>30</v>
      </c>
      <c r="P26" s="727">
        <f ca="1">+O26</f>
        <v>30</v>
      </c>
      <c r="Q26" s="593">
        <f ca="1">IF(O26 &gt; 0, P26/O26*100%, "N/A")</f>
        <v>1</v>
      </c>
      <c r="R26" s="416">
        <f ca="1">+Payroll!P38</f>
        <v>10</v>
      </c>
      <c r="S26" s="416">
        <f ca="1">+Payroll!Q38</f>
        <v>10</v>
      </c>
      <c r="T26" s="416">
        <f ca="1">+Payroll!R38</f>
        <v>10</v>
      </c>
      <c r="U26" s="490">
        <f t="shared" ca="1" si="28"/>
        <v>30</v>
      </c>
      <c r="V26" s="727">
        <f ca="1">+U26</f>
        <v>30</v>
      </c>
      <c r="W26" s="510">
        <f t="shared" ca="1" si="29"/>
        <v>1</v>
      </c>
      <c r="X26" s="416">
        <f ca="1">+Payroll!S38</f>
        <v>10</v>
      </c>
      <c r="Y26" s="416">
        <f ca="1">+Payroll!T38</f>
        <v>10</v>
      </c>
      <c r="Z26" s="416">
        <f ca="1">+Payroll!U38</f>
        <v>10</v>
      </c>
      <c r="AA26" s="490">
        <f t="shared" ca="1" si="30"/>
        <v>30</v>
      </c>
      <c r="AB26" s="727">
        <f ca="1">+AA26</f>
        <v>30</v>
      </c>
      <c r="AC26" s="511">
        <f t="shared" ca="1" si="31"/>
        <v>1</v>
      </c>
      <c r="AD26" s="529">
        <f t="shared" ref="AD25:AD40" ca="1" si="52">I26+O26+U26+AA26</f>
        <v>120</v>
      </c>
      <c r="AE26" s="529">
        <f t="shared" ref="AE26:AE30" ca="1" si="53">SUMIF($I$4:$AD$4,"x",I26:AB26)</f>
        <v>30</v>
      </c>
      <c r="AF26" s="516">
        <f t="shared" ref="AF26:AF40" ca="1" si="54">SUM(J26,P26,V26,AB26)</f>
        <v>120</v>
      </c>
      <c r="AG26" s="502"/>
      <c r="AH26" s="490">
        <f ca="1">SUM(Payroll!W38:Y38)</f>
        <v>30.599999999999998</v>
      </c>
      <c r="AI26" s="490">
        <f ca="1">SUM(Payroll!Z38:AB38)</f>
        <v>30.599999999999998</v>
      </c>
      <c r="AJ26" s="490">
        <f ca="1">SUM(Payroll!AC38:AE38)</f>
        <v>30.599999999999998</v>
      </c>
      <c r="AK26" s="490">
        <f ca="1">SUM(Payroll!AF38:AH38)</f>
        <v>30.599999999999998</v>
      </c>
      <c r="AL26" s="490">
        <f ca="1">SUM(AH26:AK26)</f>
        <v>122.39999999999999</v>
      </c>
      <c r="AM26" s="502"/>
      <c r="AN26" s="490">
        <f ca="1">SUM(Payroll!AJ38:AL38)</f>
        <v>32.130000000000003</v>
      </c>
      <c r="AO26" s="490">
        <f ca="1">SUM(Payroll!AM38:AO38)</f>
        <v>32.130000000000003</v>
      </c>
      <c r="AP26" s="490">
        <f ca="1">SUM(Payroll!AP38:AR38)</f>
        <v>32.130000000000003</v>
      </c>
      <c r="AQ26" s="490">
        <f ca="1">SUM(Payroll!AS38:AU38)</f>
        <v>32.130000000000003</v>
      </c>
      <c r="AR26" s="490">
        <f ca="1">SUM(AN26:AQ26)</f>
        <v>128.52000000000001</v>
      </c>
      <c r="AS26" s="580"/>
      <c r="AT26" s="420"/>
      <c r="AU26" s="412"/>
      <c r="AV26" s="420"/>
    </row>
    <row r="27" spans="2:65" outlineLevel="1">
      <c r="B27" s="372"/>
      <c r="C27" s="397" t="s">
        <v>201</v>
      </c>
      <c r="D27" s="397" t="s">
        <v>202</v>
      </c>
      <c r="F27" s="399">
        <f ca="1">+Payroll!J37-Payroll!J38</f>
        <v>8.5</v>
      </c>
      <c r="G27" s="399">
        <f ca="1">+Payroll!K37-Payroll!K38</f>
        <v>8.5</v>
      </c>
      <c r="H27" s="399">
        <f ca="1">+Payroll!L37-Payroll!L38</f>
        <v>8.5</v>
      </c>
      <c r="I27" s="399">
        <f t="shared" ca="1" si="25"/>
        <v>25.5</v>
      </c>
      <c r="J27" s="727">
        <f t="shared" ref="J27:J31" ca="1" si="55">+I27</f>
        <v>25.5</v>
      </c>
      <c r="K27" s="576">
        <f t="shared" ca="1" si="36"/>
        <v>1</v>
      </c>
      <c r="L27" s="399">
        <f ca="1">+Payroll!M37-Payroll!M38</f>
        <v>8.5</v>
      </c>
      <c r="M27" s="399">
        <f ca="1">+Payroll!N37-Payroll!N38</f>
        <v>8.5</v>
      </c>
      <c r="N27" s="399">
        <f ca="1">+Payroll!O37-Payroll!O38</f>
        <v>8.5</v>
      </c>
      <c r="O27" s="399">
        <f t="shared" ca="1" si="26"/>
        <v>25.5</v>
      </c>
      <c r="P27" s="724">
        <f ca="1">+O27</f>
        <v>25.5</v>
      </c>
      <c r="Q27" s="400">
        <f ca="1">IF(O27 &gt; 0, P27/O27*100%, "N/A")</f>
        <v>1</v>
      </c>
      <c r="R27" s="399">
        <f ca="1">+Payroll!P37-Payroll!P38</f>
        <v>8.5</v>
      </c>
      <c r="S27" s="399">
        <f ca="1">+Payroll!Q37-Payroll!Q38</f>
        <v>8.5</v>
      </c>
      <c r="T27" s="399">
        <f ca="1">+Payroll!R37-Payroll!R38</f>
        <v>8.5</v>
      </c>
      <c r="U27" s="399">
        <f t="shared" ca="1" si="28"/>
        <v>25.5</v>
      </c>
      <c r="V27" s="724">
        <f ca="1">+U27</f>
        <v>25.5</v>
      </c>
      <c r="W27" s="400">
        <f t="shared" ca="1" si="29"/>
        <v>1</v>
      </c>
      <c r="X27" s="399">
        <f ca="1">+Payroll!S37-Payroll!S38</f>
        <v>8.5</v>
      </c>
      <c r="Y27" s="399">
        <f ca="1">+Payroll!T37-Payroll!T38</f>
        <v>8.5</v>
      </c>
      <c r="Z27" s="399">
        <f ca="1">+Payroll!U37-Payroll!U38</f>
        <v>8.5</v>
      </c>
      <c r="AA27" s="399">
        <f t="shared" ca="1" si="30"/>
        <v>25.5</v>
      </c>
      <c r="AB27" s="724">
        <f ca="1">+AA27</f>
        <v>25.5</v>
      </c>
      <c r="AC27" s="401">
        <f t="shared" ca="1" si="31"/>
        <v>1</v>
      </c>
      <c r="AD27" s="512">
        <f t="shared" ca="1" si="52"/>
        <v>102</v>
      </c>
      <c r="AE27" s="529">
        <f t="shared" ca="1" si="53"/>
        <v>25.5</v>
      </c>
      <c r="AF27" s="516">
        <f t="shared" ca="1" si="54"/>
        <v>102</v>
      </c>
      <c r="AG27" s="502"/>
      <c r="AH27" s="490">
        <f ca="1">SUM(Payroll!W37:Y37)-SUM(Payroll!W38:Y38)</f>
        <v>26.009999999999994</v>
      </c>
      <c r="AI27" s="490">
        <f ca="1">SUM(Payroll!Z37:AB37)-SUM(Payroll!Z38:AB38)</f>
        <v>26.009999999999994</v>
      </c>
      <c r="AJ27" s="490">
        <f ca="1">SUM(Payroll!AC37:AE37)-SUM(Payroll!AC38:AE38)</f>
        <v>26.009999999999994</v>
      </c>
      <c r="AK27" s="490">
        <f ca="1">SUM(Payroll!AF37:AH37)-SUM(Payroll!AF38:AH38)</f>
        <v>26.009999999999994</v>
      </c>
      <c r="AL27" s="490">
        <f t="shared" ref="AL27:AL28" ca="1" si="56">SUM(AH27:AK27)</f>
        <v>104.03999999999998</v>
      </c>
      <c r="AM27" s="502"/>
      <c r="AN27" s="490">
        <f ca="1">SUM(Payroll!AJ37:AL37)-SUM(Payroll!AJ38:AL38)</f>
        <v>27.310499999999998</v>
      </c>
      <c r="AO27" s="490">
        <f ca="1">SUM(Payroll!AM37:AO37)-SUM(Payroll!AM38:AO38)</f>
        <v>27.310499999999998</v>
      </c>
      <c r="AP27" s="490">
        <f ca="1">SUM(Payroll!AP37:AR37)-SUM(Payroll!AP38:AR38)</f>
        <v>27.310499999999998</v>
      </c>
      <c r="AQ27" s="490">
        <f ca="1">SUM(Payroll!AS37:AU37)-SUM(Payroll!AS38:AU38)</f>
        <v>27.310499999999998</v>
      </c>
      <c r="AR27" s="490">
        <f t="shared" ref="AR27:AR28" ca="1" si="57">SUM(AN27:AQ27)</f>
        <v>109.24199999999999</v>
      </c>
      <c r="AS27" s="580"/>
      <c r="AT27" s="420"/>
      <c r="AU27" s="412"/>
      <c r="AV27" s="420"/>
    </row>
    <row r="28" spans="2:65" ht="13.5" customHeight="1" outlineLevel="1">
      <c r="B28" s="372"/>
      <c r="C28" s="427" t="s">
        <v>280</v>
      </c>
      <c r="D28" s="404" t="s">
        <v>203</v>
      </c>
      <c r="E28" s="371"/>
      <c r="F28" s="518">
        <f>+Payroll!J39</f>
        <v>3.7700000000000005</v>
      </c>
      <c r="G28" s="518">
        <f>+Payroll!K39</f>
        <v>3.7700000000000005</v>
      </c>
      <c r="H28" s="518">
        <f>+Payroll!L39</f>
        <v>3.7700000000000005</v>
      </c>
      <c r="I28" s="518">
        <f t="shared" si="25"/>
        <v>11.310000000000002</v>
      </c>
      <c r="J28" s="727">
        <f t="shared" si="55"/>
        <v>11.310000000000002</v>
      </c>
      <c r="K28" s="594">
        <f t="shared" si="36"/>
        <v>1</v>
      </c>
      <c r="L28" s="518">
        <f>+Payroll!M39</f>
        <v>3.7700000000000005</v>
      </c>
      <c r="M28" s="518">
        <f>+Payroll!N39</f>
        <v>3.7700000000000005</v>
      </c>
      <c r="N28" s="518">
        <f>+Payroll!O39</f>
        <v>3.7700000000000005</v>
      </c>
      <c r="O28" s="518">
        <f t="shared" si="26"/>
        <v>11.310000000000002</v>
      </c>
      <c r="P28" s="726">
        <f>+O28</f>
        <v>11.310000000000002</v>
      </c>
      <c r="Q28" s="519">
        <f t="shared" si="27"/>
        <v>1</v>
      </c>
      <c r="R28" s="518">
        <f>+Payroll!P39</f>
        <v>3.7700000000000005</v>
      </c>
      <c r="S28" s="518">
        <f>+Payroll!Q39</f>
        <v>3.7700000000000005</v>
      </c>
      <c r="T28" s="518">
        <f>+Payroll!R39</f>
        <v>3.7700000000000005</v>
      </c>
      <c r="U28" s="518">
        <f t="shared" si="28"/>
        <v>11.310000000000002</v>
      </c>
      <c r="V28" s="726">
        <f>+U28</f>
        <v>11.310000000000002</v>
      </c>
      <c r="W28" s="519">
        <f t="shared" si="29"/>
        <v>1</v>
      </c>
      <c r="X28" s="518">
        <f>+Payroll!S39</f>
        <v>3.7700000000000005</v>
      </c>
      <c r="Y28" s="518">
        <f>+Payroll!T39</f>
        <v>3.7700000000000005</v>
      </c>
      <c r="Z28" s="518">
        <f>+Payroll!U39</f>
        <v>3.7700000000000005</v>
      </c>
      <c r="AA28" s="518">
        <f t="shared" si="30"/>
        <v>11.310000000000002</v>
      </c>
      <c r="AB28" s="726">
        <f>+AA28</f>
        <v>11.310000000000002</v>
      </c>
      <c r="AC28" s="520">
        <f t="shared" si="31"/>
        <v>1</v>
      </c>
      <c r="AD28" s="521">
        <f t="shared" si="52"/>
        <v>45.240000000000009</v>
      </c>
      <c r="AE28" s="529">
        <f t="shared" ca="1" si="53"/>
        <v>11.310000000000002</v>
      </c>
      <c r="AF28" s="516">
        <f t="shared" si="54"/>
        <v>45.240000000000009</v>
      </c>
      <c r="AG28" s="420"/>
      <c r="AH28" s="490">
        <f>SUM(Payroll!W39:Y39)</f>
        <v>11.536200000000001</v>
      </c>
      <c r="AI28" s="490">
        <f>SUM(Payroll!Z39:AB39)</f>
        <v>11.536200000000001</v>
      </c>
      <c r="AJ28" s="490">
        <f>SUM(Payroll!AC39:AE39)</f>
        <v>11.536200000000001</v>
      </c>
      <c r="AK28" s="490">
        <f>SUM(Payroll!AF39:AH39)</f>
        <v>11.536200000000001</v>
      </c>
      <c r="AL28" s="490">
        <f t="shared" si="56"/>
        <v>46.144800000000004</v>
      </c>
      <c r="AM28" s="420"/>
      <c r="AN28" s="490">
        <f>SUM(Payroll!AJ39:AL39)</f>
        <v>12.113010000000001</v>
      </c>
      <c r="AO28" s="490">
        <f>SUM(Payroll!AM39:AO39)</f>
        <v>12.113010000000001</v>
      </c>
      <c r="AP28" s="490">
        <f>SUM(Payroll!AP39:AR39)</f>
        <v>12.113010000000001</v>
      </c>
      <c r="AQ28" s="490">
        <f>SUM(Payroll!AS39:AU39)</f>
        <v>12.113010000000001</v>
      </c>
      <c r="AR28" s="490">
        <f t="shared" si="57"/>
        <v>48.452040000000004</v>
      </c>
      <c r="AS28" s="580"/>
      <c r="AT28" s="420"/>
      <c r="AU28" s="412"/>
      <c r="AV28" s="420"/>
    </row>
    <row r="29" spans="2:65">
      <c r="B29" s="372"/>
      <c r="C29" s="397" t="s">
        <v>204</v>
      </c>
      <c r="D29" s="397" t="s">
        <v>205</v>
      </c>
      <c r="F29" s="399">
        <f>SUM(F30:F31)</f>
        <v>0</v>
      </c>
      <c r="G29" s="399">
        <f>SUM(G30:G31)</f>
        <v>0</v>
      </c>
      <c r="H29" s="399">
        <f>SUM(H30:H31)</f>
        <v>0</v>
      </c>
      <c r="I29" s="399">
        <f>SUM(I30:I31)</f>
        <v>0</v>
      </c>
      <c r="J29" s="727">
        <f t="shared" si="55"/>
        <v>0</v>
      </c>
      <c r="K29" s="576" t="str">
        <f t="shared" si="36"/>
        <v>N/A</v>
      </c>
      <c r="L29" s="399">
        <f>SUM(L30:L31)</f>
        <v>0</v>
      </c>
      <c r="M29" s="399">
        <f>SUM(M30:M31)</f>
        <v>0</v>
      </c>
      <c r="N29" s="399">
        <f>SUM(N30:N31)</f>
        <v>0</v>
      </c>
      <c r="O29" s="399">
        <f>SUM(O30:O31)</f>
        <v>0</v>
      </c>
      <c r="P29" s="399">
        <f>SUM(P30:P31)</f>
        <v>0</v>
      </c>
      <c r="Q29" s="400" t="str">
        <f t="shared" si="27"/>
        <v>N/A</v>
      </c>
      <c r="R29" s="399">
        <f>SUM(R30:R31)</f>
        <v>0</v>
      </c>
      <c r="S29" s="399">
        <f>SUM(S30:S31)</f>
        <v>0</v>
      </c>
      <c r="T29" s="399">
        <f>SUM(T30:T31)</f>
        <v>0</v>
      </c>
      <c r="U29" s="399">
        <f>SUM(U30:U31)</f>
        <v>0</v>
      </c>
      <c r="V29" s="399">
        <f>SUM(V30:V31)</f>
        <v>0</v>
      </c>
      <c r="W29" s="400" t="str">
        <f t="shared" si="29"/>
        <v>N/A</v>
      </c>
      <c r="X29" s="399">
        <f>SUM(X30:X31)</f>
        <v>0</v>
      </c>
      <c r="Y29" s="399">
        <f>SUM(Y30:Y31)</f>
        <v>0</v>
      </c>
      <c r="Z29" s="399">
        <f>SUM(Z30:Z31)</f>
        <v>0</v>
      </c>
      <c r="AA29" s="399">
        <f>SUM(AA30:AA31)</f>
        <v>0</v>
      </c>
      <c r="AB29" s="399">
        <f>SUM(AB30:AB31)</f>
        <v>0</v>
      </c>
      <c r="AC29" s="401" t="str">
        <f t="shared" si="31"/>
        <v>N/A</v>
      </c>
      <c r="AD29" s="513">
        <f t="shared" si="52"/>
        <v>0</v>
      </c>
      <c r="AE29" s="529">
        <f t="shared" ca="1" si="53"/>
        <v>0</v>
      </c>
      <c r="AF29" s="516">
        <f t="shared" si="54"/>
        <v>0</v>
      </c>
      <c r="AG29" s="502"/>
      <c r="AH29" s="390">
        <f>SUM(AH30:AH31)</f>
        <v>0</v>
      </c>
      <c r="AI29" s="390">
        <f t="shared" ref="AI29:AK29" si="58">SUM(AI30:AI31)</f>
        <v>0</v>
      </c>
      <c r="AJ29" s="390">
        <f t="shared" si="58"/>
        <v>0</v>
      </c>
      <c r="AK29" s="390">
        <f t="shared" si="58"/>
        <v>0</v>
      </c>
      <c r="AL29" s="616">
        <f>SUM(AH29:AK29)</f>
        <v>0</v>
      </c>
      <c r="AM29" s="502"/>
      <c r="AN29" s="390">
        <f>SUM(AN30:AN31)</f>
        <v>0</v>
      </c>
      <c r="AO29" s="390">
        <f t="shared" ref="AO29:AQ29" si="59">SUM(AO30:AO31)</f>
        <v>0</v>
      </c>
      <c r="AP29" s="390">
        <f t="shared" si="59"/>
        <v>0</v>
      </c>
      <c r="AQ29" s="390">
        <f t="shared" si="59"/>
        <v>0</v>
      </c>
      <c r="AR29" s="616">
        <f>SUM(AN29:AQ29)</f>
        <v>0</v>
      </c>
      <c r="AS29" s="580"/>
      <c r="AT29" s="420"/>
      <c r="AU29" s="412"/>
      <c r="AV29" s="420"/>
    </row>
    <row r="30" spans="2:65" outlineLevel="1">
      <c r="B30" s="372"/>
      <c r="C30" s="397" t="s">
        <v>206</v>
      </c>
      <c r="D30" s="397" t="s">
        <v>207</v>
      </c>
      <c r="F30" s="724"/>
      <c r="G30" s="724"/>
      <c r="H30" s="724"/>
      <c r="I30" s="399">
        <f t="shared" si="25"/>
        <v>0</v>
      </c>
      <c r="J30" s="727">
        <f t="shared" si="55"/>
        <v>0</v>
      </c>
      <c r="K30" s="576" t="str">
        <f t="shared" si="36"/>
        <v>N/A</v>
      </c>
      <c r="L30" s="724"/>
      <c r="M30" s="724"/>
      <c r="N30" s="724"/>
      <c r="O30" s="399">
        <f t="shared" si="26"/>
        <v>0</v>
      </c>
      <c r="P30" s="724">
        <v>0</v>
      </c>
      <c r="Q30" s="400" t="str">
        <f t="shared" si="27"/>
        <v>N/A</v>
      </c>
      <c r="R30" s="724"/>
      <c r="S30" s="724"/>
      <c r="T30" s="724"/>
      <c r="U30" s="399">
        <f t="shared" si="28"/>
        <v>0</v>
      </c>
      <c r="V30" s="724">
        <v>0</v>
      </c>
      <c r="W30" s="400" t="str">
        <f t="shared" si="29"/>
        <v>N/A</v>
      </c>
      <c r="X30" s="724"/>
      <c r="Y30" s="724"/>
      <c r="Z30" s="724"/>
      <c r="AA30" s="399">
        <f t="shared" si="30"/>
        <v>0</v>
      </c>
      <c r="AB30" s="724">
        <v>0</v>
      </c>
      <c r="AC30" s="401" t="str">
        <f t="shared" si="31"/>
        <v>N/A</v>
      </c>
      <c r="AD30" s="512">
        <f t="shared" si="52"/>
        <v>0</v>
      </c>
      <c r="AE30" s="529">
        <f t="shared" ca="1" si="53"/>
        <v>0</v>
      </c>
      <c r="AF30" s="516">
        <f t="shared" si="54"/>
        <v>0</v>
      </c>
      <c r="AG30" s="502"/>
      <c r="AH30" s="724"/>
      <c r="AI30" s="724"/>
      <c r="AJ30" s="724"/>
      <c r="AK30" s="724"/>
      <c r="AL30" s="490">
        <f>SUM(AH30:AK30)</f>
        <v>0</v>
      </c>
      <c r="AM30" s="502"/>
      <c r="AN30" s="724"/>
      <c r="AO30" s="724"/>
      <c r="AP30" s="724"/>
      <c r="AQ30" s="724"/>
      <c r="AR30" s="490">
        <f>SUM(AN30:AQ30)</f>
        <v>0</v>
      </c>
      <c r="AS30" s="580"/>
      <c r="AT30" s="420"/>
      <c r="AU30" s="412"/>
      <c r="AV30" s="420"/>
    </row>
    <row r="31" spans="2:65" s="376" customFormat="1" ht="12" customHeight="1" outlineLevel="1">
      <c r="B31" s="389"/>
      <c r="C31" s="435" t="s">
        <v>208</v>
      </c>
      <c r="D31" s="404" t="s">
        <v>209</v>
      </c>
      <c r="E31" s="374"/>
      <c r="F31" s="725"/>
      <c r="G31" s="725"/>
      <c r="H31" s="725"/>
      <c r="I31" s="518">
        <f t="shared" si="25"/>
        <v>0</v>
      </c>
      <c r="J31" s="727">
        <f t="shared" si="55"/>
        <v>0</v>
      </c>
      <c r="K31" s="594" t="str">
        <f t="shared" si="36"/>
        <v>N/A</v>
      </c>
      <c r="L31" s="726"/>
      <c r="M31" s="726"/>
      <c r="N31" s="726"/>
      <c r="O31" s="518">
        <f t="shared" si="26"/>
        <v>0</v>
      </c>
      <c r="P31" s="726">
        <v>0</v>
      </c>
      <c r="Q31" s="519" t="str">
        <f t="shared" si="27"/>
        <v>N/A</v>
      </c>
      <c r="R31" s="726"/>
      <c r="S31" s="726"/>
      <c r="T31" s="726"/>
      <c r="U31" s="518">
        <f t="shared" si="28"/>
        <v>0</v>
      </c>
      <c r="V31" s="726">
        <v>0</v>
      </c>
      <c r="W31" s="519" t="str">
        <f t="shared" si="29"/>
        <v>N/A</v>
      </c>
      <c r="X31" s="726"/>
      <c r="Y31" s="726"/>
      <c r="Z31" s="726"/>
      <c r="AA31" s="518">
        <f t="shared" si="30"/>
        <v>0</v>
      </c>
      <c r="AB31" s="726">
        <v>0</v>
      </c>
      <c r="AC31" s="520" t="str">
        <f t="shared" si="31"/>
        <v>N/A</v>
      </c>
      <c r="AD31" s="521">
        <f t="shared" si="52"/>
        <v>0</v>
      </c>
      <c r="AE31" s="521">
        <f t="shared" si="43"/>
        <v>0</v>
      </c>
      <c r="AF31" s="516">
        <f t="shared" si="54"/>
        <v>0</v>
      </c>
      <c r="AG31" s="502"/>
      <c r="AH31" s="724"/>
      <c r="AI31" s="724"/>
      <c r="AJ31" s="724"/>
      <c r="AK31" s="724"/>
      <c r="AL31" s="490">
        <f>SUM(AH31:AK31)</f>
        <v>0</v>
      </c>
      <c r="AM31" s="502"/>
      <c r="AN31" s="724"/>
      <c r="AO31" s="724"/>
      <c r="AP31" s="724"/>
      <c r="AQ31" s="724"/>
      <c r="AR31" s="490">
        <f>SUM(AN31:AQ31)</f>
        <v>0</v>
      </c>
      <c r="AS31" s="575"/>
      <c r="AT31" s="412"/>
      <c r="AU31" s="412"/>
      <c r="AV31" s="412"/>
    </row>
    <row r="32" spans="2:65" ht="16" customHeight="1">
      <c r="B32" s="372"/>
      <c r="C32" s="528" t="s">
        <v>210</v>
      </c>
      <c r="D32" s="404" t="s">
        <v>250</v>
      </c>
      <c r="F32" s="411">
        <f>SUM(F33:F41)</f>
        <v>5.9</v>
      </c>
      <c r="G32" s="412">
        <f>SUM(G33:G41)</f>
        <v>0</v>
      </c>
      <c r="H32" s="412">
        <f>SUM(H33:H41)</f>
        <v>0</v>
      </c>
      <c r="I32" s="523">
        <f>SUM(I33:I41)</f>
        <v>5.9</v>
      </c>
      <c r="J32" s="524">
        <f>SUM(J33:J41)</f>
        <v>5.9</v>
      </c>
      <c r="K32" s="592">
        <f t="shared" si="36"/>
        <v>1</v>
      </c>
      <c r="L32" s="524">
        <f>SUM(L33:L41)</f>
        <v>0</v>
      </c>
      <c r="M32" s="524">
        <f>SUM(M33:M41)</f>
        <v>1</v>
      </c>
      <c r="N32" s="524">
        <f>SUM(N33:N41)</f>
        <v>0</v>
      </c>
      <c r="O32" s="524">
        <f>SUM(O33:O41)</f>
        <v>1</v>
      </c>
      <c r="P32" s="524">
        <f>SUM(P33:P41)</f>
        <v>1</v>
      </c>
      <c r="Q32" s="525">
        <f t="shared" si="27"/>
        <v>1</v>
      </c>
      <c r="R32" s="524">
        <f>SUM(R33:R41)</f>
        <v>0</v>
      </c>
      <c r="S32" s="524">
        <f>SUM(S33:S41)</f>
        <v>0</v>
      </c>
      <c r="T32" s="524">
        <f>SUM(T33:T41)</f>
        <v>1</v>
      </c>
      <c r="U32" s="524">
        <f>SUM(U33:U41)</f>
        <v>1</v>
      </c>
      <c r="V32" s="524">
        <f>SUM(V33:V41)</f>
        <v>1</v>
      </c>
      <c r="W32" s="525">
        <f t="shared" si="29"/>
        <v>1</v>
      </c>
      <c r="X32" s="524">
        <f>SUM(X33:X41)</f>
        <v>0</v>
      </c>
      <c r="Y32" s="524">
        <f>SUM(Y33:Y41)</f>
        <v>0</v>
      </c>
      <c r="Z32" s="524">
        <f>SUM(Z33:Z41)</f>
        <v>1</v>
      </c>
      <c r="AA32" s="524">
        <f>SUM(AA33:AA41)</f>
        <v>1</v>
      </c>
      <c r="AB32" s="524">
        <f>SUM(AB33:AB41)</f>
        <v>1</v>
      </c>
      <c r="AC32" s="525">
        <f t="shared" si="31"/>
        <v>1</v>
      </c>
      <c r="AD32" s="524">
        <f>SUM(AD33:AD41)</f>
        <v>8.9</v>
      </c>
      <c r="AE32" s="524">
        <f ca="1">SUM(AE33:AE41)</f>
        <v>5.9</v>
      </c>
      <c r="AF32" s="524">
        <f>SUM(AF33:AF41)</f>
        <v>8.9</v>
      </c>
      <c r="AG32" s="502"/>
      <c r="AH32" s="526">
        <f>SUM(AH33:AH40)</f>
        <v>7.4</v>
      </c>
      <c r="AI32" s="526">
        <f t="shared" ref="AI32:AK32" si="60">SUM(AI33:AI40)</f>
        <v>2.5</v>
      </c>
      <c r="AJ32" s="526">
        <f t="shared" si="60"/>
        <v>0</v>
      </c>
      <c r="AK32" s="526">
        <f t="shared" si="60"/>
        <v>0</v>
      </c>
      <c r="AL32" s="526">
        <f>SUM(AL33:AL40)</f>
        <v>9.9</v>
      </c>
      <c r="AM32" s="502"/>
      <c r="AN32" s="526">
        <f>SUM(AN33:AN40)</f>
        <v>4.9000000000000004</v>
      </c>
      <c r="AO32" s="526">
        <f t="shared" ref="AO32" si="61">SUM(AO33:AO40)</f>
        <v>0</v>
      </c>
      <c r="AP32" s="526">
        <f t="shared" ref="AP32" si="62">SUM(AP33:AP40)</f>
        <v>3</v>
      </c>
      <c r="AQ32" s="526">
        <f t="shared" ref="AQ32" si="63">SUM(AQ33:AQ40)</f>
        <v>3</v>
      </c>
      <c r="AR32" s="526">
        <f>SUM(AR33:AR40)</f>
        <v>10.9</v>
      </c>
      <c r="AS32" s="580"/>
      <c r="AT32" s="412"/>
      <c r="AU32" s="412"/>
      <c r="AV32" s="420"/>
    </row>
    <row r="33" spans="2:48" s="376" customFormat="1" ht="15" customHeight="1" outlineLevel="1">
      <c r="B33" s="389"/>
      <c r="C33" s="527" t="s">
        <v>211</v>
      </c>
      <c r="D33" s="397" t="s">
        <v>212</v>
      </c>
      <c r="E33" s="379"/>
      <c r="F33" s="416">
        <f>('other  costs'!F10+'other  costs'!F15)/'P&amp;L Detail'!$N3</f>
        <v>1.5</v>
      </c>
      <c r="G33" s="416">
        <f>('other  costs'!G10+'other  costs'!G15)/'P&amp;L Detail'!$N3</f>
        <v>0</v>
      </c>
      <c r="H33" s="416">
        <f>('other  costs'!H10+'other  costs'!H15)/'P&amp;L Detail'!$N3</f>
        <v>0</v>
      </c>
      <c r="I33" s="490">
        <f t="shared" si="25"/>
        <v>1.5</v>
      </c>
      <c r="J33" s="727">
        <f>+I33</f>
        <v>1.5</v>
      </c>
      <c r="K33" s="593">
        <f t="shared" si="36"/>
        <v>1</v>
      </c>
      <c r="L33" s="416">
        <f>('other  costs'!I10+'other  costs'!I15)/'P&amp;L Detail'!$N3</f>
        <v>0</v>
      </c>
      <c r="M33" s="490">
        <f>('other  costs'!J10+'other  costs'!J15)/'P&amp;L Detail'!$N3</f>
        <v>0</v>
      </c>
      <c r="N33" s="490">
        <f>('other  costs'!K10+'other  costs'!K15)/'P&amp;L Detail'!$N3</f>
        <v>0</v>
      </c>
      <c r="O33" s="490">
        <f t="shared" si="26"/>
        <v>0</v>
      </c>
      <c r="P33" s="727">
        <f>+O33</f>
        <v>0</v>
      </c>
      <c r="Q33" s="510" t="str">
        <f t="shared" si="27"/>
        <v>N/A</v>
      </c>
      <c r="R33" s="490">
        <f>('other  costs'!L10+'other  costs'!L15)/'P&amp;L Detail'!$N3</f>
        <v>0</v>
      </c>
      <c r="S33" s="490">
        <f>('other  costs'!M10+'other  costs'!M15)/'P&amp;L Detail'!$N3</f>
        <v>0</v>
      </c>
      <c r="T33" s="490">
        <f>('other  costs'!N10+'other  costs'!N15)/'P&amp;L Detail'!$N3</f>
        <v>0</v>
      </c>
      <c r="U33" s="490">
        <f t="shared" si="28"/>
        <v>0</v>
      </c>
      <c r="V33" s="727">
        <f>+U33</f>
        <v>0</v>
      </c>
      <c r="W33" s="510" t="str">
        <f t="shared" si="29"/>
        <v>N/A</v>
      </c>
      <c r="X33" s="490">
        <f>('other  costs'!O10+'other  costs'!O15)/'P&amp;L Detail'!$N3</f>
        <v>0</v>
      </c>
      <c r="Y33" s="490">
        <f>('other  costs'!P10+'other  costs'!P15)/'P&amp;L Detail'!$N3</f>
        <v>0</v>
      </c>
      <c r="Z33" s="490">
        <f>('other  costs'!Q10+'other  costs'!Q15)/'P&amp;L Detail'!$N3</f>
        <v>0</v>
      </c>
      <c r="AA33" s="490">
        <f t="shared" si="30"/>
        <v>0</v>
      </c>
      <c r="AB33" s="727">
        <f>+AA33</f>
        <v>0</v>
      </c>
      <c r="AC33" s="511" t="str">
        <f t="shared" si="31"/>
        <v>N/A</v>
      </c>
      <c r="AD33" s="1308">
        <f t="shared" si="52"/>
        <v>1.5</v>
      </c>
      <c r="AE33" s="1310">
        <f t="shared" ref="AE33:AE40" ca="1" si="64">SUMIF($I$4:$AD$4,"x",I33:AB33)</f>
        <v>1.5</v>
      </c>
      <c r="AF33" s="516">
        <f t="shared" si="54"/>
        <v>1.5</v>
      </c>
      <c r="AG33" s="502"/>
      <c r="AH33" s="399">
        <f>SUM('other  costs'!T10:V10,'other  costs'!T15:V15)/$N$3</f>
        <v>1.5</v>
      </c>
      <c r="AI33" s="399">
        <f>SUM('other  costs'!W10:Y10,'other  costs'!W15:Y15)/$N$3</f>
        <v>0</v>
      </c>
      <c r="AJ33" s="399">
        <f>SUM('other  costs'!Z10:AB10,'other  costs'!Z15:AB15)/$N$3</f>
        <v>0</v>
      </c>
      <c r="AK33" s="399">
        <f>SUM('other  costs'!AC10:AE10,'other  costs'!AC15:AE15)/$N$3</f>
        <v>0</v>
      </c>
      <c r="AL33" s="490">
        <f>SUM(AH33:AK33)</f>
        <v>1.5</v>
      </c>
      <c r="AM33" s="502"/>
      <c r="AN33" s="399">
        <f>SUM('other  costs'!AH10:AJ10,'other  costs'!AH15:AJ15)/$N$3</f>
        <v>1.5</v>
      </c>
      <c r="AO33" s="399">
        <f>SUM('other  costs'!AK10:AM10,'other  costs'!AK15:AM15)/$N$3</f>
        <v>0</v>
      </c>
      <c r="AP33" s="399">
        <f>SUM('other  costs'!AN10:AP10,'other  costs'!AN15:AP15)/$N$3</f>
        <v>0</v>
      </c>
      <c r="AQ33" s="399">
        <f>SUM('other  costs'!AQ10:AS10,'other  costs'!AQ15:AS15)/$N$3</f>
        <v>0</v>
      </c>
      <c r="AR33" s="490">
        <f>SUM(AN33:AQ33)</f>
        <v>1.5</v>
      </c>
      <c r="AS33" s="575"/>
      <c r="AT33" s="412"/>
      <c r="AU33" s="412"/>
      <c r="AV33" s="412"/>
    </row>
    <row r="34" spans="2:48" ht="12" customHeight="1" outlineLevel="1">
      <c r="B34" s="372"/>
      <c r="C34" s="404" t="s">
        <v>213</v>
      </c>
      <c r="D34" s="404" t="s">
        <v>214</v>
      </c>
      <c r="F34" s="399">
        <f>('other  costs'!F32+'other  costs'!F39)/'P&amp;L Detail'!$N3</f>
        <v>1.5</v>
      </c>
      <c r="G34" s="399">
        <f>('other  costs'!G32+'other  costs'!G39)/'P&amp;L Detail'!$N3</f>
        <v>0</v>
      </c>
      <c r="H34" s="399">
        <f>('other  costs'!H32+'other  costs'!H39)/'P&amp;L Detail'!$N3</f>
        <v>0</v>
      </c>
      <c r="I34" s="399">
        <f t="shared" si="25"/>
        <v>1.5</v>
      </c>
      <c r="J34" s="727">
        <f t="shared" ref="J34:J40" si="65">+I34</f>
        <v>1.5</v>
      </c>
      <c r="K34" s="576">
        <f t="shared" si="36"/>
        <v>1</v>
      </c>
      <c r="L34" s="399">
        <f>('other  costs'!I32+'other  costs'!I39)/'P&amp;L Detail'!$N3</f>
        <v>0</v>
      </c>
      <c r="M34" s="399">
        <f>('other  costs'!J32+'other  costs'!J39)/'P&amp;L Detail'!$N3</f>
        <v>0</v>
      </c>
      <c r="N34" s="399">
        <f>('other  costs'!K32+'other  costs'!K39)/'P&amp;L Detail'!$N3</f>
        <v>0</v>
      </c>
      <c r="O34" s="399">
        <f t="shared" si="26"/>
        <v>0</v>
      </c>
      <c r="P34" s="727">
        <f t="shared" ref="P34:P40" si="66">+O34</f>
        <v>0</v>
      </c>
      <c r="Q34" s="400" t="str">
        <f t="shared" si="27"/>
        <v>N/A</v>
      </c>
      <c r="R34" s="399">
        <f>('other  costs'!L32+'other  costs'!L39)/'P&amp;L Detail'!$N3</f>
        <v>0</v>
      </c>
      <c r="S34" s="399">
        <f>('other  costs'!M32+'other  costs'!M39)/'P&amp;L Detail'!$N3</f>
        <v>0</v>
      </c>
      <c r="T34" s="399">
        <f>('other  costs'!N32+'other  costs'!N39)/'P&amp;L Detail'!$N3</f>
        <v>0</v>
      </c>
      <c r="U34" s="399">
        <f t="shared" si="28"/>
        <v>0</v>
      </c>
      <c r="V34" s="727">
        <f t="shared" ref="V34:V40" si="67">+U34</f>
        <v>0</v>
      </c>
      <c r="W34" s="400" t="str">
        <f t="shared" si="29"/>
        <v>N/A</v>
      </c>
      <c r="X34" s="399">
        <f>('other  costs'!O32+'other  costs'!O39)/'P&amp;L Detail'!$N3</f>
        <v>0</v>
      </c>
      <c r="Y34" s="399">
        <f>('other  costs'!P32+'other  costs'!P39)/'P&amp;L Detail'!$N3</f>
        <v>0</v>
      </c>
      <c r="Z34" s="399">
        <f>('other  costs'!Q32+'other  costs'!Q39)/'P&amp;L Detail'!$N3</f>
        <v>0</v>
      </c>
      <c r="AA34" s="399">
        <f t="shared" si="30"/>
        <v>0</v>
      </c>
      <c r="AB34" s="727">
        <f t="shared" ref="AB34:AB40" si="68">+AA34</f>
        <v>0</v>
      </c>
      <c r="AC34" s="401" t="str">
        <f t="shared" si="31"/>
        <v>N/A</v>
      </c>
      <c r="AD34" s="1309">
        <f t="shared" si="52"/>
        <v>1.5</v>
      </c>
      <c r="AE34" s="1311">
        <f t="shared" ca="1" si="64"/>
        <v>1.5</v>
      </c>
      <c r="AF34" s="516">
        <f t="shared" si="54"/>
        <v>1.5</v>
      </c>
      <c r="AG34" s="502"/>
      <c r="AH34" s="399">
        <f>SUM('other  costs'!T32:V32,'other  costs'!T39:V39)/$N$3</f>
        <v>1.5</v>
      </c>
      <c r="AI34" s="399">
        <f>SUM('other  costs'!W32:Y32,'other  costs'!W39:Y39)/$N$3</f>
        <v>0</v>
      </c>
      <c r="AJ34" s="399">
        <f>SUM('other  costs'!Z32:AB32,'other  costs'!Z39:AB39)/$N$3</f>
        <v>0</v>
      </c>
      <c r="AK34" s="399">
        <f>SUM('other  costs'!AC32:AE32,'other  costs'!AC39:AE39)/$N$3</f>
        <v>0</v>
      </c>
      <c r="AL34" s="490">
        <f t="shared" ref="AL34:AL40" si="69">SUM(AH34:AK34)</f>
        <v>1.5</v>
      </c>
      <c r="AM34" s="502"/>
      <c r="AN34" s="399">
        <f>SUM('other  costs'!AH32:AJ32,'other  costs'!AH39:AJ39)/$N$3</f>
        <v>1.5</v>
      </c>
      <c r="AO34" s="399">
        <f>SUM('other  costs'!AK32:AM32,'other  costs'!AK39:AM39)/$N$3</f>
        <v>0</v>
      </c>
      <c r="AP34" s="399">
        <f>SUM('other  costs'!AN32:AP32,'other  costs'!AN39:AP39)/$N$3</f>
        <v>0</v>
      </c>
      <c r="AQ34" s="399">
        <f>SUM('other  costs'!AQ32:AS32,'other  costs'!AQ39:AS39)/$N$3</f>
        <v>0</v>
      </c>
      <c r="AR34" s="490">
        <f t="shared" ref="AR34:AR40" si="70">SUM(AN34:AQ34)</f>
        <v>1.5</v>
      </c>
      <c r="AS34" s="580"/>
      <c r="AT34" s="412"/>
      <c r="AU34" s="412"/>
      <c r="AV34" s="420"/>
    </row>
    <row r="35" spans="2:48" ht="12" customHeight="1" outlineLevel="1">
      <c r="B35" s="372"/>
      <c r="C35" s="404" t="s">
        <v>215</v>
      </c>
      <c r="D35" s="404" t="s">
        <v>216</v>
      </c>
      <c r="F35" s="399">
        <f>('other  costs'!F23+'other  costs'!F58)/'P&amp;L Detail'!$N3</f>
        <v>0.6</v>
      </c>
      <c r="G35" s="399">
        <f>('other  costs'!G23+'other  costs'!G58)/'P&amp;L Detail'!$N3</f>
        <v>0</v>
      </c>
      <c r="H35" s="399">
        <f>('other  costs'!H23+'other  costs'!H58)/'P&amp;L Detail'!$N3</f>
        <v>0</v>
      </c>
      <c r="I35" s="399">
        <f t="shared" si="25"/>
        <v>0.6</v>
      </c>
      <c r="J35" s="727">
        <f t="shared" si="65"/>
        <v>0.6</v>
      </c>
      <c r="K35" s="576">
        <f t="shared" si="36"/>
        <v>1</v>
      </c>
      <c r="L35" s="399">
        <f>('other  costs'!I23+'other  costs'!I58)/'P&amp;L Detail'!$N3</f>
        <v>0</v>
      </c>
      <c r="M35" s="399">
        <f>('other  costs'!J23+'other  costs'!J58)/'P&amp;L Detail'!$N3</f>
        <v>0</v>
      </c>
      <c r="N35" s="399">
        <f>('other  costs'!K23+'other  costs'!K58)/'P&amp;L Detail'!$N3</f>
        <v>0</v>
      </c>
      <c r="O35" s="399">
        <f t="shared" si="26"/>
        <v>0</v>
      </c>
      <c r="P35" s="727">
        <f t="shared" si="66"/>
        <v>0</v>
      </c>
      <c r="Q35" s="400" t="str">
        <f t="shared" si="27"/>
        <v>N/A</v>
      </c>
      <c r="R35" s="399">
        <f>('other  costs'!L23+'other  costs'!L58)/'P&amp;L Detail'!$N3</f>
        <v>0</v>
      </c>
      <c r="S35" s="399">
        <f>('other  costs'!M23+'other  costs'!M58)/'P&amp;L Detail'!$N3</f>
        <v>0</v>
      </c>
      <c r="T35" s="399">
        <f>('other  costs'!N23+'other  costs'!N58)/'P&amp;L Detail'!$N3</f>
        <v>0</v>
      </c>
      <c r="U35" s="399">
        <f t="shared" si="28"/>
        <v>0</v>
      </c>
      <c r="V35" s="727">
        <f t="shared" si="67"/>
        <v>0</v>
      </c>
      <c r="W35" s="400" t="str">
        <f t="shared" si="29"/>
        <v>N/A</v>
      </c>
      <c r="X35" s="399">
        <f>('other  costs'!O23+'other  costs'!O58)/'P&amp;L Detail'!$N3</f>
        <v>0</v>
      </c>
      <c r="Y35" s="399">
        <f>('other  costs'!P23+'other  costs'!P58)/'P&amp;L Detail'!$N3</f>
        <v>0</v>
      </c>
      <c r="Z35" s="399">
        <f>('other  costs'!Q23+'other  costs'!Q58)/'P&amp;L Detail'!$N3</f>
        <v>0</v>
      </c>
      <c r="AA35" s="399">
        <f t="shared" si="30"/>
        <v>0</v>
      </c>
      <c r="AB35" s="727">
        <f t="shared" si="68"/>
        <v>0</v>
      </c>
      <c r="AC35" s="401" t="str">
        <f t="shared" si="31"/>
        <v>N/A</v>
      </c>
      <c r="AD35" s="1309">
        <f t="shared" si="52"/>
        <v>0.6</v>
      </c>
      <c r="AE35" s="1311">
        <f t="shared" ca="1" si="64"/>
        <v>0.6</v>
      </c>
      <c r="AF35" s="516">
        <f t="shared" si="54"/>
        <v>0.6</v>
      </c>
      <c r="AG35" s="502"/>
      <c r="AH35" s="399">
        <f>SUM('other  costs'!T23:V23,'other  costs'!T58:V58)/$N$3</f>
        <v>0.6</v>
      </c>
      <c r="AI35" s="399">
        <f>SUM('other  costs'!W23:Y23,'other  costs'!W58:Y58)/$N$3</f>
        <v>0</v>
      </c>
      <c r="AJ35" s="399">
        <f>SUM('other  costs'!Z23:AB23,'other  costs'!Z58:AB58)/$N$3</f>
        <v>0</v>
      </c>
      <c r="AK35" s="399">
        <f>SUM('other  costs'!AC23:AE23,'other  costs'!AC58:AE58)/$N$3</f>
        <v>0</v>
      </c>
      <c r="AL35" s="490">
        <f t="shared" si="69"/>
        <v>0.6</v>
      </c>
      <c r="AM35" s="502"/>
      <c r="AN35" s="399">
        <f>SUM('other  costs'!AH23:AJ23,'other  costs'!AH58:AJ58)/$N$3</f>
        <v>0.6</v>
      </c>
      <c r="AO35" s="399">
        <f>SUM('other  costs'!AK23:AM23,'other  costs'!AK58:AM58)/$N$3</f>
        <v>0</v>
      </c>
      <c r="AP35" s="399">
        <f>SUM('other  costs'!AN23:AP23,'other  costs'!AN58:AP58)/$N$3</f>
        <v>0</v>
      </c>
      <c r="AQ35" s="399">
        <f>SUM('other  costs'!AQ23:AS23,'other  costs'!AQ58:AS58)/$N$3</f>
        <v>0</v>
      </c>
      <c r="AR35" s="490">
        <f t="shared" si="70"/>
        <v>0.6</v>
      </c>
      <c r="AS35" s="580"/>
      <c r="AT35" s="412"/>
      <c r="AU35" s="412"/>
      <c r="AV35" s="420"/>
    </row>
    <row r="36" spans="2:48" ht="12" customHeight="1" outlineLevel="1">
      <c r="B36" s="372"/>
      <c r="C36" s="397" t="s">
        <v>284</v>
      </c>
      <c r="D36" s="397" t="s">
        <v>287</v>
      </c>
      <c r="F36" s="399">
        <f>'other  costs'!F65/'P&amp;L Detail'!$N$3</f>
        <v>0.6</v>
      </c>
      <c r="G36" s="399">
        <f>'other  costs'!G65/'P&amp;L Detail'!$N$3</f>
        <v>0</v>
      </c>
      <c r="H36" s="399">
        <f>'other  costs'!H65/'P&amp;L Detail'!$N$3</f>
        <v>0</v>
      </c>
      <c r="I36" s="399">
        <f t="shared" si="25"/>
        <v>0.6</v>
      </c>
      <c r="J36" s="727">
        <f t="shared" si="65"/>
        <v>0.6</v>
      </c>
      <c r="K36" s="576">
        <f t="shared" si="36"/>
        <v>1</v>
      </c>
      <c r="L36" s="399">
        <f>'other  costs'!I65/'P&amp;L Detail'!$N$3</f>
        <v>0</v>
      </c>
      <c r="M36" s="399">
        <f>'other  costs'!J65/'P&amp;L Detail'!$N$3</f>
        <v>0</v>
      </c>
      <c r="N36" s="399">
        <f>'other  costs'!K65/'P&amp;L Detail'!$N$3</f>
        <v>0</v>
      </c>
      <c r="O36" s="399">
        <f t="shared" si="26"/>
        <v>0</v>
      </c>
      <c r="P36" s="727">
        <f t="shared" si="66"/>
        <v>0</v>
      </c>
      <c r="Q36" s="400" t="str">
        <f t="shared" si="27"/>
        <v>N/A</v>
      </c>
      <c r="R36" s="399">
        <f>'other  costs'!L65/'P&amp;L Detail'!$N$3</f>
        <v>0</v>
      </c>
      <c r="S36" s="399">
        <f>'other  costs'!M65/'P&amp;L Detail'!$N$3</f>
        <v>0</v>
      </c>
      <c r="T36" s="399">
        <f>'other  costs'!N65/'P&amp;L Detail'!$N$3</f>
        <v>0</v>
      </c>
      <c r="U36" s="399">
        <f t="shared" si="28"/>
        <v>0</v>
      </c>
      <c r="V36" s="727">
        <f t="shared" si="67"/>
        <v>0</v>
      </c>
      <c r="W36" s="400" t="str">
        <f t="shared" si="29"/>
        <v>N/A</v>
      </c>
      <c r="X36" s="399">
        <f>'other  costs'!O65/'P&amp;L Detail'!$N$3</f>
        <v>0</v>
      </c>
      <c r="Y36" s="399">
        <f>'other  costs'!P65/'P&amp;L Detail'!$N$3</f>
        <v>0</v>
      </c>
      <c r="Z36" s="399">
        <f>'other  costs'!Q65/'P&amp;L Detail'!$N$3</f>
        <v>0</v>
      </c>
      <c r="AA36" s="399">
        <f t="shared" si="30"/>
        <v>0</v>
      </c>
      <c r="AB36" s="727">
        <f t="shared" si="68"/>
        <v>0</v>
      </c>
      <c r="AC36" s="401" t="str">
        <f t="shared" si="31"/>
        <v>N/A</v>
      </c>
      <c r="AD36" s="1309">
        <f t="shared" si="52"/>
        <v>0.6</v>
      </c>
      <c r="AE36" s="1311">
        <f t="shared" ca="1" si="64"/>
        <v>0.6</v>
      </c>
      <c r="AF36" s="516">
        <f t="shared" si="54"/>
        <v>0.6</v>
      </c>
      <c r="AG36" s="502"/>
      <c r="AH36" s="399">
        <f>SUM('other  costs'!T65:V65)/$N$3</f>
        <v>0.6</v>
      </c>
      <c r="AI36" s="399">
        <f>SUM('other  costs'!W65:Y65)/$N$3</f>
        <v>0</v>
      </c>
      <c r="AJ36" s="399">
        <f>SUM('other  costs'!Z65:AB65)/$N$3</f>
        <v>0</v>
      </c>
      <c r="AK36" s="399">
        <f>SUM('other  costs'!AC65:AE65)/$N$3</f>
        <v>0</v>
      </c>
      <c r="AL36" s="490">
        <f t="shared" si="69"/>
        <v>0.6</v>
      </c>
      <c r="AM36" s="502"/>
      <c r="AN36" s="399">
        <f>SUM('other  costs'!AH65:AJ65)/$N$3</f>
        <v>0.6</v>
      </c>
      <c r="AO36" s="399">
        <f>SUM('other  costs'!AK65:AM65)/$N$3</f>
        <v>0</v>
      </c>
      <c r="AP36" s="399">
        <f>SUM('other  costs'!AN65:AP65)/$N$3</f>
        <v>0</v>
      </c>
      <c r="AQ36" s="399">
        <f>SUM('other  costs'!AQ65:AS65)/$N$3</f>
        <v>0</v>
      </c>
      <c r="AR36" s="490">
        <f t="shared" si="70"/>
        <v>0.6</v>
      </c>
      <c r="AS36" s="580"/>
      <c r="AT36" s="412"/>
      <c r="AU36" s="412"/>
      <c r="AV36" s="420"/>
    </row>
    <row r="37" spans="2:48" ht="12" customHeight="1" outlineLevel="1">
      <c r="B37" s="372"/>
      <c r="C37" s="404" t="s">
        <v>283</v>
      </c>
      <c r="D37" s="404" t="s">
        <v>217</v>
      </c>
      <c r="F37" s="724"/>
      <c r="G37" s="724"/>
      <c r="H37" s="724"/>
      <c r="I37" s="399">
        <f t="shared" si="25"/>
        <v>0</v>
      </c>
      <c r="J37" s="727">
        <f t="shared" si="65"/>
        <v>0</v>
      </c>
      <c r="K37" s="576" t="str">
        <f t="shared" si="36"/>
        <v>N/A</v>
      </c>
      <c r="L37" s="724"/>
      <c r="M37" s="724"/>
      <c r="N37" s="724"/>
      <c r="O37" s="399">
        <f t="shared" si="26"/>
        <v>0</v>
      </c>
      <c r="P37" s="727">
        <f t="shared" si="66"/>
        <v>0</v>
      </c>
      <c r="Q37" s="400" t="str">
        <f t="shared" si="27"/>
        <v>N/A</v>
      </c>
      <c r="R37" s="724"/>
      <c r="S37" s="724"/>
      <c r="T37" s="724"/>
      <c r="U37" s="399">
        <f t="shared" si="28"/>
        <v>0</v>
      </c>
      <c r="V37" s="727">
        <f t="shared" si="67"/>
        <v>0</v>
      </c>
      <c r="W37" s="400" t="str">
        <f t="shared" si="29"/>
        <v>N/A</v>
      </c>
      <c r="X37" s="724"/>
      <c r="Y37" s="724"/>
      <c r="Z37" s="724"/>
      <c r="AA37" s="399">
        <f t="shared" si="30"/>
        <v>0</v>
      </c>
      <c r="AB37" s="727">
        <f t="shared" si="68"/>
        <v>0</v>
      </c>
      <c r="AC37" s="401" t="str">
        <f t="shared" si="31"/>
        <v>N/A</v>
      </c>
      <c r="AD37" s="1309">
        <f t="shared" si="52"/>
        <v>0</v>
      </c>
      <c r="AE37" s="1311">
        <f t="shared" ca="1" si="64"/>
        <v>0</v>
      </c>
      <c r="AF37" s="516">
        <f t="shared" si="54"/>
        <v>0</v>
      </c>
      <c r="AG37" s="502"/>
      <c r="AH37" s="724"/>
      <c r="AI37" s="724"/>
      <c r="AJ37" s="724"/>
      <c r="AK37" s="724"/>
      <c r="AL37" s="490">
        <f t="shared" si="69"/>
        <v>0</v>
      </c>
      <c r="AM37" s="502"/>
      <c r="AN37" s="724"/>
      <c r="AO37" s="724"/>
      <c r="AP37" s="724"/>
      <c r="AQ37" s="724"/>
      <c r="AR37" s="490">
        <f t="shared" si="70"/>
        <v>0</v>
      </c>
      <c r="AS37" s="580"/>
      <c r="AT37" s="420"/>
      <c r="AU37" s="412"/>
      <c r="AV37" s="420"/>
    </row>
    <row r="38" spans="2:48" ht="12" customHeight="1" outlineLevel="1">
      <c r="B38" s="372"/>
      <c r="C38" s="404" t="s">
        <v>218</v>
      </c>
      <c r="D38" s="404" t="s">
        <v>219</v>
      </c>
      <c r="F38" s="399">
        <f>'other  costs'!F52/$N$3</f>
        <v>0.4</v>
      </c>
      <c r="G38" s="399">
        <f>'other  costs'!G52/$N$3</f>
        <v>0</v>
      </c>
      <c r="H38" s="399">
        <f>'other  costs'!H52/$N$3</f>
        <v>0</v>
      </c>
      <c r="I38" s="399">
        <f t="shared" si="25"/>
        <v>0.4</v>
      </c>
      <c r="J38" s="727">
        <f t="shared" si="65"/>
        <v>0.4</v>
      </c>
      <c r="K38" s="576">
        <f t="shared" si="36"/>
        <v>1</v>
      </c>
      <c r="L38" s="399">
        <f>'other  costs'!I52/$N$3</f>
        <v>0</v>
      </c>
      <c r="M38" s="399">
        <f>'other  costs'!J52/$N$3</f>
        <v>0</v>
      </c>
      <c r="N38" s="399">
        <f>'other  costs'!K52/$N$3</f>
        <v>0</v>
      </c>
      <c r="O38" s="399">
        <f t="shared" si="26"/>
        <v>0</v>
      </c>
      <c r="P38" s="727">
        <f t="shared" si="66"/>
        <v>0</v>
      </c>
      <c r="Q38" s="400" t="str">
        <f t="shared" si="27"/>
        <v>N/A</v>
      </c>
      <c r="R38" s="399">
        <f>'other  costs'!L52/$N$3</f>
        <v>0</v>
      </c>
      <c r="S38" s="399">
        <f>'other  costs'!M52/$N$3</f>
        <v>0</v>
      </c>
      <c r="T38" s="399">
        <f>'other  costs'!N52/$N$3</f>
        <v>0</v>
      </c>
      <c r="U38" s="399">
        <f t="shared" si="28"/>
        <v>0</v>
      </c>
      <c r="V38" s="727">
        <f t="shared" si="67"/>
        <v>0</v>
      </c>
      <c r="W38" s="400" t="str">
        <f t="shared" si="29"/>
        <v>N/A</v>
      </c>
      <c r="X38" s="399">
        <f>'other  costs'!O52/$N$3</f>
        <v>0</v>
      </c>
      <c r="Y38" s="399">
        <f>'other  costs'!P52/$N$3</f>
        <v>0</v>
      </c>
      <c r="Z38" s="399">
        <f>'other  costs'!Q52/$N$3</f>
        <v>0</v>
      </c>
      <c r="AA38" s="399">
        <f t="shared" si="30"/>
        <v>0</v>
      </c>
      <c r="AB38" s="727">
        <f t="shared" si="68"/>
        <v>0</v>
      </c>
      <c r="AC38" s="401" t="str">
        <f t="shared" si="31"/>
        <v>N/A</v>
      </c>
      <c r="AD38" s="1309">
        <f t="shared" si="52"/>
        <v>0.4</v>
      </c>
      <c r="AE38" s="1311">
        <f t="shared" ca="1" si="64"/>
        <v>0.4</v>
      </c>
      <c r="AF38" s="516">
        <f t="shared" si="54"/>
        <v>0.4</v>
      </c>
      <c r="AG38" s="502"/>
      <c r="AH38" s="399">
        <f>SUM('other  costs'!T52:V52)/$N$3</f>
        <v>0.4</v>
      </c>
      <c r="AI38" s="399">
        <f>SUM('other  costs'!W52:Y52)/$N$3</f>
        <v>0</v>
      </c>
      <c r="AJ38" s="399">
        <f>SUM('other  costs'!Z52:AB52)/$N$3</f>
        <v>0</v>
      </c>
      <c r="AK38" s="399">
        <f>SUM('other  costs'!AC52:AE52)/$N$3</f>
        <v>0</v>
      </c>
      <c r="AL38" s="490">
        <f t="shared" si="69"/>
        <v>0.4</v>
      </c>
      <c r="AM38" s="502"/>
      <c r="AN38" s="399">
        <f>SUM('other  costs'!AH52:AJ52)/$N$3</f>
        <v>0.4</v>
      </c>
      <c r="AO38" s="399">
        <f>SUM('other  costs'!AK52:AM52)/$N$3</f>
        <v>0</v>
      </c>
      <c r="AP38" s="399">
        <f>SUM('other  costs'!AN52:AP52)/$N$3</f>
        <v>0</v>
      </c>
      <c r="AQ38" s="399">
        <f>SUM('other  costs'!AQ52:AS52)/$N$3</f>
        <v>0</v>
      </c>
      <c r="AR38" s="490">
        <f t="shared" si="70"/>
        <v>0.4</v>
      </c>
      <c r="AS38" s="580"/>
      <c r="AT38" s="412"/>
      <c r="AU38" s="412"/>
      <c r="AV38" s="420"/>
    </row>
    <row r="39" spans="2:48" ht="12" customHeight="1" outlineLevel="1">
      <c r="B39" s="372"/>
      <c r="C39" s="397" t="s">
        <v>220</v>
      </c>
      <c r="D39" s="397" t="s">
        <v>221</v>
      </c>
      <c r="F39" s="399">
        <f>'other  costs'!F46/$N$3</f>
        <v>0.3</v>
      </c>
      <c r="G39" s="399">
        <f>'other  costs'!G46/$N$3</f>
        <v>0</v>
      </c>
      <c r="H39" s="399">
        <f>'other  costs'!H46/$N$3</f>
        <v>0</v>
      </c>
      <c r="I39" s="399">
        <f>SUM(F39:H39)</f>
        <v>0.3</v>
      </c>
      <c r="J39" s="727">
        <f t="shared" si="65"/>
        <v>0.3</v>
      </c>
      <c r="K39" s="576">
        <f t="shared" si="36"/>
        <v>1</v>
      </c>
      <c r="L39" s="399">
        <f>'other  costs'!I46/$N$3</f>
        <v>0</v>
      </c>
      <c r="M39" s="399">
        <f>'other  costs'!J46/$N$3</f>
        <v>0</v>
      </c>
      <c r="N39" s="399">
        <f>'other  costs'!K46/$N$3</f>
        <v>0</v>
      </c>
      <c r="O39" s="399">
        <f>SUM(L39:N39)</f>
        <v>0</v>
      </c>
      <c r="P39" s="727">
        <f t="shared" si="66"/>
        <v>0</v>
      </c>
      <c r="Q39" s="400" t="str">
        <f>IF(O39 &gt; 0, P39/O39*100%, "N/A")</f>
        <v>N/A</v>
      </c>
      <c r="R39" s="399">
        <f>'other  costs'!L46/$N$3</f>
        <v>0</v>
      </c>
      <c r="S39" s="399">
        <f>'other  costs'!M46/$N$3</f>
        <v>0</v>
      </c>
      <c r="T39" s="399">
        <f>'other  costs'!N46/$N$3</f>
        <v>0</v>
      </c>
      <c r="U39" s="399">
        <f>SUM(R39:T39)</f>
        <v>0</v>
      </c>
      <c r="V39" s="727">
        <f t="shared" si="67"/>
        <v>0</v>
      </c>
      <c r="W39" s="400" t="str">
        <f>IF(U39 &gt; 0, V39/U39*100%, "N/A")</f>
        <v>N/A</v>
      </c>
      <c r="X39" s="399">
        <f>'other  costs'!O46/$N$3</f>
        <v>0</v>
      </c>
      <c r="Y39" s="399">
        <f>'other  costs'!P46/$N$3</f>
        <v>0</v>
      </c>
      <c r="Z39" s="399">
        <f>'other  costs'!Q46/$N$3</f>
        <v>0</v>
      </c>
      <c r="AA39" s="399">
        <f>SUM(X39:Z39)</f>
        <v>0</v>
      </c>
      <c r="AB39" s="727">
        <f t="shared" si="68"/>
        <v>0</v>
      </c>
      <c r="AC39" s="401" t="str">
        <f>IF(AA39 &gt; 0, AB39/AA39*100%, "N/A")</f>
        <v>N/A</v>
      </c>
      <c r="AD39" s="1309">
        <f t="shared" si="52"/>
        <v>0.3</v>
      </c>
      <c r="AE39" s="1311">
        <f t="shared" ca="1" si="64"/>
        <v>0.3</v>
      </c>
      <c r="AF39" s="516">
        <f t="shared" si="54"/>
        <v>0.3</v>
      </c>
      <c r="AG39" s="502"/>
      <c r="AH39" s="399">
        <f>SUM('other  costs'!T46:V46)/$N$3</f>
        <v>0.3</v>
      </c>
      <c r="AI39" s="399">
        <f>SUM('other  costs'!W46:Y46)/$N$3</f>
        <v>0</v>
      </c>
      <c r="AJ39" s="399">
        <f>SUM('other  costs'!Z46:AB46)/$N$3</f>
        <v>0</v>
      </c>
      <c r="AK39" s="399">
        <f>SUM('other  costs'!AC46:AE46)/$N$3</f>
        <v>0</v>
      </c>
      <c r="AL39" s="490">
        <f t="shared" si="69"/>
        <v>0.3</v>
      </c>
      <c r="AM39" s="502"/>
      <c r="AN39" s="399">
        <f>SUM('other  costs'!AH46:AJ46)/$N$3</f>
        <v>0.3</v>
      </c>
      <c r="AO39" s="399">
        <f>SUM('other  costs'!AK46:AM46)/$N$3</f>
        <v>0</v>
      </c>
      <c r="AP39" s="399">
        <f>SUM('other  costs'!AN46:AP46)/$N$3</f>
        <v>0</v>
      </c>
      <c r="AQ39" s="399">
        <f>SUM('other  costs'!AQ46:AS46)/$N$3</f>
        <v>0</v>
      </c>
      <c r="AR39" s="490">
        <f t="shared" si="70"/>
        <v>0.3</v>
      </c>
      <c r="AS39" s="580"/>
      <c r="AT39" s="412"/>
      <c r="AU39" s="412"/>
      <c r="AV39" s="420"/>
    </row>
    <row r="40" spans="2:48" ht="12" customHeight="1" outlineLevel="1">
      <c r="B40" s="372"/>
      <c r="C40" s="397" t="s">
        <v>258</v>
      </c>
      <c r="D40" s="397" t="s">
        <v>481</v>
      </c>
      <c r="F40" s="399">
        <f>+Revenues!E101/$N$3</f>
        <v>1</v>
      </c>
      <c r="G40" s="399">
        <f>+Revenues!F101/$N$3</f>
        <v>0</v>
      </c>
      <c r="H40" s="399">
        <f>+Revenues!G101/$N$3</f>
        <v>0</v>
      </c>
      <c r="I40" s="399">
        <f>SUM(F40:H40)</f>
        <v>1</v>
      </c>
      <c r="J40" s="727">
        <f t="shared" si="65"/>
        <v>1</v>
      </c>
      <c r="K40" s="576">
        <f t="shared" si="36"/>
        <v>1</v>
      </c>
      <c r="L40" s="399">
        <f>+Revenues!H101/$N$3</f>
        <v>0</v>
      </c>
      <c r="M40" s="399">
        <f>+Revenues!I101/$N$3</f>
        <v>1</v>
      </c>
      <c r="N40" s="399">
        <f>+Revenues!J101/$N$3</f>
        <v>0</v>
      </c>
      <c r="O40" s="399">
        <f>SUM(L40:N40)</f>
        <v>1</v>
      </c>
      <c r="P40" s="727">
        <f t="shared" si="66"/>
        <v>1</v>
      </c>
      <c r="Q40" s="400">
        <f>IF(O40 &gt; 0, P40/O40*100%, "N/A")</f>
        <v>1</v>
      </c>
      <c r="R40" s="399">
        <f>+Revenues!K101/$N$3</f>
        <v>0</v>
      </c>
      <c r="S40" s="399">
        <f>+Revenues!L101/$N$3</f>
        <v>0</v>
      </c>
      <c r="T40" s="399">
        <f>+Revenues!M101/$N$3</f>
        <v>1</v>
      </c>
      <c r="U40" s="399">
        <f>SUM(R40:T40)</f>
        <v>1</v>
      </c>
      <c r="V40" s="727">
        <f t="shared" si="67"/>
        <v>1</v>
      </c>
      <c r="W40" s="400">
        <f>IF(U40 &gt; 0, V40/U40*100%, "N/A")</f>
        <v>1</v>
      </c>
      <c r="X40" s="399">
        <f>+Revenues!N101/$N$3</f>
        <v>0</v>
      </c>
      <c r="Y40" s="399">
        <f>+Revenues!O101/$N$3</f>
        <v>0</v>
      </c>
      <c r="Z40" s="399">
        <f>+Revenues!P101/$N$3</f>
        <v>1</v>
      </c>
      <c r="AA40" s="399">
        <f>SUM(X40:Z40)</f>
        <v>1</v>
      </c>
      <c r="AB40" s="727">
        <f t="shared" si="68"/>
        <v>1</v>
      </c>
      <c r="AC40" s="401">
        <f>IF(AA40 &gt; 0, AB40/AA40*100%, "N/A")</f>
        <v>1</v>
      </c>
      <c r="AD40" s="1309">
        <f t="shared" si="52"/>
        <v>4</v>
      </c>
      <c r="AE40" s="1311">
        <f t="shared" ca="1" si="64"/>
        <v>1</v>
      </c>
      <c r="AF40" s="516">
        <f t="shared" si="54"/>
        <v>4</v>
      </c>
      <c r="AG40" s="502"/>
      <c r="AH40" s="399">
        <f>SUM(Revenues!S101:U101)/$N$3</f>
        <v>2.5</v>
      </c>
      <c r="AI40" s="399">
        <f>SUM(Revenues!V101:X101)/$N$3</f>
        <v>2.5</v>
      </c>
      <c r="AJ40" s="399">
        <f>SUM(Revenues!Y101:AA101)/$N$3</f>
        <v>0</v>
      </c>
      <c r="AK40" s="399">
        <f>SUM(Revenues!AB101:AD101)/$N$3</f>
        <v>0</v>
      </c>
      <c r="AL40" s="490">
        <f t="shared" si="69"/>
        <v>5</v>
      </c>
      <c r="AM40" s="502"/>
      <c r="AN40" s="399">
        <f>SUM(Revenues!AG101:AI101)/$N$3</f>
        <v>0</v>
      </c>
      <c r="AO40" s="399">
        <f>SUM(Revenues!AJ101:AL101)/$N$3</f>
        <v>0</v>
      </c>
      <c r="AP40" s="399">
        <f>SUM(Revenues!AO101:AJM101)/$N$3</f>
        <v>3</v>
      </c>
      <c r="AQ40" s="399">
        <f>SUM(Revenues!AP101:AR101)/$N$3</f>
        <v>3</v>
      </c>
      <c r="AR40" s="490">
        <f t="shared" si="70"/>
        <v>6</v>
      </c>
      <c r="AS40" s="580"/>
      <c r="AT40" s="412"/>
      <c r="AU40" s="412"/>
      <c r="AV40" s="420"/>
    </row>
    <row r="41" spans="2:48" ht="12" customHeight="1" outlineLevel="1">
      <c r="B41" s="372"/>
      <c r="C41" s="404"/>
      <c r="D41" s="404"/>
      <c r="F41" s="423"/>
      <c r="G41" s="423"/>
      <c r="H41" s="423"/>
      <c r="I41" s="423"/>
      <c r="J41" s="423"/>
      <c r="K41" s="591"/>
      <c r="L41" s="423"/>
      <c r="M41" s="423"/>
      <c r="N41" s="423"/>
      <c r="O41" s="423"/>
      <c r="P41" s="423"/>
      <c r="Q41" s="424"/>
      <c r="R41" s="423"/>
      <c r="S41" s="423"/>
      <c r="T41" s="423"/>
      <c r="U41" s="423"/>
      <c r="V41" s="423"/>
      <c r="W41" s="424"/>
      <c r="X41" s="423"/>
      <c r="Y41" s="423"/>
      <c r="Z41" s="423"/>
      <c r="AA41" s="423"/>
      <c r="AB41" s="423"/>
      <c r="AC41" s="425"/>
      <c r="AD41" s="423"/>
      <c r="AE41" s="426"/>
      <c r="AF41" s="517"/>
      <c r="AG41" s="502"/>
      <c r="AH41" s="619"/>
      <c r="AI41" s="619"/>
      <c r="AJ41" s="619"/>
      <c r="AK41" s="619"/>
      <c r="AL41" s="619"/>
      <c r="AM41" s="502"/>
      <c r="AN41" s="619"/>
      <c r="AO41" s="619"/>
      <c r="AP41" s="619"/>
      <c r="AQ41" s="619"/>
      <c r="AR41" s="619"/>
      <c r="AS41" s="580"/>
      <c r="AT41" s="420"/>
      <c r="AU41" s="412"/>
      <c r="AV41" s="420"/>
    </row>
    <row r="42" spans="2:48" s="408" customFormat="1">
      <c r="B42" s="407"/>
      <c r="C42" s="405"/>
      <c r="D42" s="405"/>
      <c r="E42" s="504"/>
      <c r="F42" s="432"/>
      <c r="G42" s="428"/>
      <c r="H42" s="428"/>
      <c r="I42" s="428"/>
      <c r="J42" s="428"/>
      <c r="K42" s="595"/>
      <c r="L42" s="428"/>
      <c r="M42" s="428"/>
      <c r="N42" s="428"/>
      <c r="O42" s="428"/>
      <c r="P42" s="428"/>
      <c r="Q42" s="596"/>
      <c r="R42" s="428"/>
      <c r="S42" s="428"/>
      <c r="T42" s="428"/>
      <c r="U42" s="428"/>
      <c r="V42" s="428"/>
      <c r="W42" s="596"/>
      <c r="X42" s="428"/>
      <c r="Y42" s="428"/>
      <c r="Z42" s="428"/>
      <c r="AA42" s="428"/>
      <c r="AB42" s="428"/>
      <c r="AC42" s="597"/>
      <c r="AD42" s="428"/>
      <c r="AE42" s="598"/>
      <c r="AF42" s="428"/>
      <c r="AG42" s="612"/>
      <c r="AH42" s="618"/>
      <c r="AI42" s="618"/>
      <c r="AJ42" s="618"/>
      <c r="AK42" s="618"/>
      <c r="AL42" s="618"/>
      <c r="AM42" s="612"/>
      <c r="AN42" s="618"/>
      <c r="AO42" s="618"/>
      <c r="AP42" s="618"/>
      <c r="AQ42" s="618"/>
      <c r="AR42" s="618"/>
      <c r="AS42" s="585"/>
      <c r="AT42" s="428"/>
      <c r="AU42" s="412"/>
      <c r="AV42" s="428"/>
    </row>
    <row r="43" spans="2:48" s="408" customFormat="1" ht="14" customHeight="1">
      <c r="B43" s="407"/>
      <c r="C43" s="791" t="s">
        <v>108</v>
      </c>
      <c r="D43" s="791" t="s">
        <v>222</v>
      </c>
      <c r="E43" s="374"/>
      <c r="F43" s="793">
        <f ca="1">F24-F25-F29-F32</f>
        <v>-27.529754961000002</v>
      </c>
      <c r="G43" s="793">
        <f ca="1">G24-G25-G29-G32</f>
        <v>-20.298474961</v>
      </c>
      <c r="H43" s="793">
        <f ca="1">H24-H25-H29-H32</f>
        <v>-18.449954961</v>
      </c>
      <c r="I43" s="793">
        <f ca="1">I24-I25-I29-I32</f>
        <v>-66.278184883000009</v>
      </c>
      <c r="J43" s="793">
        <f ca="1">J24-J25-J29-J32</f>
        <v>-50.428169883000002</v>
      </c>
      <c r="K43" s="794">
        <f t="shared" ca="1" si="36"/>
        <v>0.76085623002531189</v>
      </c>
      <c r="L43" s="793">
        <f ca="1">L24-L25-L29-L32</f>
        <v>-17.881234960999997</v>
      </c>
      <c r="M43" s="793">
        <f ca="1">M24-M25-M29-M32</f>
        <v>-18.886694960999996</v>
      </c>
      <c r="N43" s="793">
        <f ca="1">N24-N25-N29-N32</f>
        <v>-13.223354960999998</v>
      </c>
      <c r="O43" s="793">
        <f ca="1">O24-O25-O29-O32</f>
        <v>-49.991284882999999</v>
      </c>
      <c r="P43" s="793">
        <f ca="1">P24-P25-P29-P32</f>
        <v>-49.991284882999999</v>
      </c>
      <c r="Q43" s="795" t="str">
        <f t="shared" ca="1" si="27"/>
        <v>N/A</v>
      </c>
      <c r="R43" s="793">
        <f ca="1">R24-R25-R29-R32</f>
        <v>-18.184354960999997</v>
      </c>
      <c r="S43" s="793">
        <f ca="1">S24-S25-S29-S32</f>
        <v>-17.839814960999998</v>
      </c>
      <c r="T43" s="793">
        <f ca="1">T24-T25-T29-T32</f>
        <v>-13.137394960999998</v>
      </c>
      <c r="U43" s="793">
        <f ca="1">U24-U25-U29-U32</f>
        <v>-49.161564882999997</v>
      </c>
      <c r="V43" s="793">
        <f ca="1">V24-V25-V29-V32</f>
        <v>-49.161564882999997</v>
      </c>
      <c r="W43" s="795" t="str">
        <f t="shared" ca="1" si="29"/>
        <v>N/A</v>
      </c>
      <c r="X43" s="793">
        <f ca="1">X24-X25-X29-X32</f>
        <v>-16.999174960999998</v>
      </c>
      <c r="Y43" s="793">
        <f ca="1">Y24-Y25-Y29-Y32</f>
        <v>-17.495274961</v>
      </c>
      <c r="Z43" s="793">
        <f ca="1">Z24-Z25-Z29-Z32</f>
        <v>-15.256974960999997</v>
      </c>
      <c r="AA43" s="793">
        <f ca="1">AA24-AA25-AA29-AA32</f>
        <v>-49.751424882999999</v>
      </c>
      <c r="AB43" s="793">
        <f ca="1">AB24-AB25-AB29-AB32</f>
        <v>-18.801439882999993</v>
      </c>
      <c r="AC43" s="796" t="str">
        <f t="shared" ca="1" si="31"/>
        <v>N/A</v>
      </c>
      <c r="AD43" s="793">
        <f ca="1">I43+O43+U43+AA43</f>
        <v>-215.18245953200002</v>
      </c>
      <c r="AE43" s="1313">
        <f t="shared" ca="1" si="43"/>
        <v>-168.38245953199998</v>
      </c>
      <c r="AF43" s="802">
        <f t="shared" ca="1" si="44"/>
        <v>-50.428169883000002</v>
      </c>
      <c r="AG43" s="403"/>
      <c r="AH43" s="803">
        <f ca="1">AH24-AH25-AH29-AH32</f>
        <v>-53.147033765999986</v>
      </c>
      <c r="AI43" s="803">
        <f t="shared" ref="AI43:AL43" ca="1" si="71">AI24-AI25-AI29-AI32</f>
        <v>-29.296013765999987</v>
      </c>
      <c r="AJ43" s="803">
        <f t="shared" ca="1" si="71"/>
        <v>-26.918633765999992</v>
      </c>
      <c r="AK43" s="803">
        <f t="shared" ca="1" si="71"/>
        <v>-28.113517765999994</v>
      </c>
      <c r="AL43" s="803">
        <f t="shared" ca="1" si="71"/>
        <v>-137.47519906399998</v>
      </c>
      <c r="AM43" s="403"/>
      <c r="AN43" s="803">
        <f ca="1">AN24-AN25-AN29-AN32</f>
        <v>-42.628018414999993</v>
      </c>
      <c r="AO43" s="803">
        <f t="shared" ref="AO43:AR43" ca="1" si="72">AO24-AO25-AO29-AO32</f>
        <v>2.3880615849999884</v>
      </c>
      <c r="AP43" s="803">
        <f t="shared" ca="1" si="72"/>
        <v>2.9599815849999942</v>
      </c>
      <c r="AQ43" s="803">
        <f t="shared" ca="1" si="72"/>
        <v>-0.53256241500000101</v>
      </c>
      <c r="AR43" s="803">
        <f t="shared" ca="1" si="72"/>
        <v>-37.812537659999997</v>
      </c>
      <c r="AS43" s="585"/>
      <c r="AT43" s="428"/>
      <c r="AU43" s="412"/>
      <c r="AV43" s="428"/>
    </row>
    <row r="44" spans="2:48" ht="12.75" customHeight="1" outlineLevel="1">
      <c r="B44" s="372"/>
      <c r="C44" s="429" t="s">
        <v>223</v>
      </c>
      <c r="D44" s="429" t="s">
        <v>224</v>
      </c>
      <c r="F44" s="728"/>
      <c r="G44" s="728"/>
      <c r="H44" s="728"/>
      <c r="I44" s="416">
        <f t="shared" si="25"/>
        <v>0</v>
      </c>
      <c r="J44" s="724">
        <f>+I44</f>
        <v>0</v>
      </c>
      <c r="K44" s="589" t="str">
        <f t="shared" si="36"/>
        <v>N/A</v>
      </c>
      <c r="L44" s="728"/>
      <c r="M44" s="728"/>
      <c r="N44" s="728"/>
      <c r="O44" s="416">
        <f t="shared" si="26"/>
        <v>0</v>
      </c>
      <c r="P44" s="724">
        <f>+O44</f>
        <v>0</v>
      </c>
      <c r="Q44" s="417" t="str">
        <f t="shared" si="27"/>
        <v>N/A</v>
      </c>
      <c r="R44" s="728"/>
      <c r="S44" s="728"/>
      <c r="T44" s="728"/>
      <c r="U44" s="416">
        <f t="shared" si="28"/>
        <v>0</v>
      </c>
      <c r="V44" s="724">
        <f>+U44</f>
        <v>0</v>
      </c>
      <c r="W44" s="417" t="str">
        <f t="shared" si="29"/>
        <v>N/A</v>
      </c>
      <c r="X44" s="728"/>
      <c r="Y44" s="728"/>
      <c r="Z44" s="728"/>
      <c r="AA44" s="416">
        <f t="shared" si="30"/>
        <v>0</v>
      </c>
      <c r="AB44" s="724">
        <f>+AA44</f>
        <v>0</v>
      </c>
      <c r="AC44" s="418" t="str">
        <f t="shared" si="31"/>
        <v>N/A</v>
      </c>
      <c r="AD44" s="1312">
        <f>I44+O44+U44+AA44</f>
        <v>0</v>
      </c>
      <c r="AE44" s="1310">
        <f t="shared" ref="AE44:AE56" ca="1" si="73">SUMIF($I$4:$AD$4,"x",I44:AB44)</f>
        <v>0</v>
      </c>
      <c r="AF44" s="516">
        <f t="shared" ref="AF44:AF56" si="74">SUM(J44,P44,V44,AB44)</f>
        <v>0</v>
      </c>
      <c r="AG44" s="403"/>
      <c r="AH44" s="728"/>
      <c r="AI44" s="728"/>
      <c r="AJ44" s="728"/>
      <c r="AK44" s="728"/>
      <c r="AL44" s="399">
        <f t="shared" ref="AL44:AL50" si="75">SUM(AH44:AK44)</f>
        <v>0</v>
      </c>
      <c r="AM44" s="403"/>
      <c r="AN44" s="728"/>
      <c r="AO44" s="728"/>
      <c r="AP44" s="728"/>
      <c r="AQ44" s="728"/>
      <c r="AR44" s="399">
        <f t="shared" ref="AR44:AR50" si="76">SUM(AN44:AQ44)</f>
        <v>0</v>
      </c>
      <c r="AS44" s="580"/>
      <c r="AT44" s="420"/>
      <c r="AU44" s="420"/>
      <c r="AV44" s="420"/>
    </row>
    <row r="45" spans="2:48" ht="12.75" customHeight="1" outlineLevel="1">
      <c r="B45" s="372"/>
      <c r="C45" s="430" t="s">
        <v>225</v>
      </c>
      <c r="D45" s="430" t="s">
        <v>226</v>
      </c>
      <c r="F45" s="724"/>
      <c r="G45" s="724"/>
      <c r="H45" s="724"/>
      <c r="I45" s="399">
        <f t="shared" si="25"/>
        <v>0</v>
      </c>
      <c r="J45" s="724">
        <f t="shared" ref="J45:J52" si="77">+I45</f>
        <v>0</v>
      </c>
      <c r="K45" s="576" t="str">
        <f t="shared" si="36"/>
        <v>N/A</v>
      </c>
      <c r="L45" s="724"/>
      <c r="M45" s="724"/>
      <c r="N45" s="724"/>
      <c r="O45" s="399">
        <f t="shared" si="26"/>
        <v>0</v>
      </c>
      <c r="P45" s="724">
        <f t="shared" ref="P45:P52" si="78">+O45</f>
        <v>0</v>
      </c>
      <c r="Q45" s="400" t="str">
        <f t="shared" si="27"/>
        <v>N/A</v>
      </c>
      <c r="R45" s="724"/>
      <c r="S45" s="724"/>
      <c r="T45" s="724"/>
      <c r="U45" s="399">
        <f t="shared" si="28"/>
        <v>0</v>
      </c>
      <c r="V45" s="724">
        <f t="shared" ref="V45:V52" si="79">+U45</f>
        <v>0</v>
      </c>
      <c r="W45" s="400" t="str">
        <f t="shared" si="29"/>
        <v>N/A</v>
      </c>
      <c r="X45" s="724"/>
      <c r="Y45" s="724"/>
      <c r="Z45" s="724"/>
      <c r="AA45" s="399">
        <f t="shared" si="30"/>
        <v>0</v>
      </c>
      <c r="AB45" s="724">
        <f t="shared" ref="AB45:AB52" si="80">+AA45</f>
        <v>0</v>
      </c>
      <c r="AC45" s="401" t="str">
        <f t="shared" si="31"/>
        <v>N/A</v>
      </c>
      <c r="AD45" s="1309">
        <f>KL45+O45+U45+AA45</f>
        <v>0</v>
      </c>
      <c r="AE45" s="1311">
        <f t="shared" ca="1" si="73"/>
        <v>0</v>
      </c>
      <c r="AF45" s="516">
        <f t="shared" si="74"/>
        <v>0</v>
      </c>
      <c r="AG45" s="403"/>
      <c r="AH45" s="724"/>
      <c r="AI45" s="724"/>
      <c r="AJ45" s="724"/>
      <c r="AK45" s="724"/>
      <c r="AL45" s="399">
        <f t="shared" si="75"/>
        <v>0</v>
      </c>
      <c r="AM45" s="403"/>
      <c r="AN45" s="724"/>
      <c r="AO45" s="724"/>
      <c r="AP45" s="724"/>
      <c r="AQ45" s="724"/>
      <c r="AR45" s="399">
        <f t="shared" si="76"/>
        <v>0</v>
      </c>
      <c r="AS45" s="580"/>
      <c r="AT45" s="420"/>
      <c r="AU45" s="420"/>
      <c r="AV45" s="420"/>
    </row>
    <row r="46" spans="2:48" ht="12.75" customHeight="1" outlineLevel="1">
      <c r="B46" s="372"/>
      <c r="C46" s="397" t="s">
        <v>227</v>
      </c>
      <c r="D46" s="397" t="s">
        <v>228</v>
      </c>
      <c r="F46" s="724"/>
      <c r="G46" s="724"/>
      <c r="H46" s="724"/>
      <c r="I46" s="399">
        <f t="shared" si="25"/>
        <v>0</v>
      </c>
      <c r="J46" s="724">
        <f t="shared" si="77"/>
        <v>0</v>
      </c>
      <c r="K46" s="576" t="str">
        <f t="shared" si="36"/>
        <v>N/A</v>
      </c>
      <c r="L46" s="724"/>
      <c r="M46" s="724"/>
      <c r="N46" s="724"/>
      <c r="O46" s="399">
        <f t="shared" si="26"/>
        <v>0</v>
      </c>
      <c r="P46" s="724">
        <f t="shared" si="78"/>
        <v>0</v>
      </c>
      <c r="Q46" s="400" t="str">
        <f t="shared" si="27"/>
        <v>N/A</v>
      </c>
      <c r="R46" s="724"/>
      <c r="S46" s="724"/>
      <c r="T46" s="724"/>
      <c r="U46" s="399">
        <f t="shared" si="28"/>
        <v>0</v>
      </c>
      <c r="V46" s="724">
        <f t="shared" si="79"/>
        <v>0</v>
      </c>
      <c r="W46" s="400" t="str">
        <f t="shared" si="29"/>
        <v>N/A</v>
      </c>
      <c r="X46" s="724"/>
      <c r="Y46" s="724"/>
      <c r="Z46" s="724"/>
      <c r="AA46" s="399">
        <f t="shared" si="30"/>
        <v>0</v>
      </c>
      <c r="AB46" s="724">
        <f t="shared" si="80"/>
        <v>0</v>
      </c>
      <c r="AC46" s="401" t="str">
        <f t="shared" si="31"/>
        <v>N/A</v>
      </c>
      <c r="AD46" s="1309">
        <f t="shared" ref="AD46:AD52" si="81">I46+O46+U46+AA46</f>
        <v>0</v>
      </c>
      <c r="AE46" s="1311">
        <f t="shared" ca="1" si="73"/>
        <v>0</v>
      </c>
      <c r="AF46" s="516">
        <f t="shared" si="74"/>
        <v>0</v>
      </c>
      <c r="AG46" s="403"/>
      <c r="AH46" s="724"/>
      <c r="AI46" s="724"/>
      <c r="AJ46" s="724"/>
      <c r="AK46" s="724"/>
      <c r="AL46" s="399">
        <f t="shared" si="75"/>
        <v>0</v>
      </c>
      <c r="AM46" s="403"/>
      <c r="AN46" s="724"/>
      <c r="AO46" s="724"/>
      <c r="AP46" s="724"/>
      <c r="AQ46" s="724"/>
      <c r="AR46" s="399">
        <f t="shared" si="76"/>
        <v>0</v>
      </c>
      <c r="AS46" s="580"/>
      <c r="AT46" s="420"/>
      <c r="AU46" s="420"/>
      <c r="AV46" s="420"/>
    </row>
    <row r="47" spans="2:48" ht="12.75" customHeight="1" outlineLevel="1">
      <c r="B47" s="372"/>
      <c r="C47" s="430" t="s">
        <v>225</v>
      </c>
      <c r="D47" s="430" t="s">
        <v>226</v>
      </c>
      <c r="F47" s="724"/>
      <c r="G47" s="724"/>
      <c r="H47" s="724"/>
      <c r="I47" s="399">
        <f t="shared" si="25"/>
        <v>0</v>
      </c>
      <c r="J47" s="724">
        <f t="shared" si="77"/>
        <v>0</v>
      </c>
      <c r="K47" s="576" t="str">
        <f t="shared" si="36"/>
        <v>N/A</v>
      </c>
      <c r="L47" s="724"/>
      <c r="M47" s="724"/>
      <c r="N47" s="724"/>
      <c r="O47" s="399">
        <f t="shared" si="26"/>
        <v>0</v>
      </c>
      <c r="P47" s="724">
        <f t="shared" si="78"/>
        <v>0</v>
      </c>
      <c r="Q47" s="400" t="str">
        <f t="shared" si="27"/>
        <v>N/A</v>
      </c>
      <c r="R47" s="724"/>
      <c r="S47" s="724"/>
      <c r="T47" s="724"/>
      <c r="U47" s="399">
        <f t="shared" si="28"/>
        <v>0</v>
      </c>
      <c r="V47" s="724">
        <f t="shared" si="79"/>
        <v>0</v>
      </c>
      <c r="W47" s="400" t="str">
        <f t="shared" si="29"/>
        <v>N/A</v>
      </c>
      <c r="X47" s="724"/>
      <c r="Y47" s="724"/>
      <c r="Z47" s="724"/>
      <c r="AA47" s="399">
        <f t="shared" si="30"/>
        <v>0</v>
      </c>
      <c r="AB47" s="724">
        <f t="shared" si="80"/>
        <v>0</v>
      </c>
      <c r="AC47" s="401" t="str">
        <f t="shared" si="31"/>
        <v>N/A</v>
      </c>
      <c r="AD47" s="1309">
        <f t="shared" si="81"/>
        <v>0</v>
      </c>
      <c r="AE47" s="1311">
        <f t="shared" ca="1" si="73"/>
        <v>0</v>
      </c>
      <c r="AF47" s="516">
        <f t="shared" si="74"/>
        <v>0</v>
      </c>
      <c r="AG47" s="403"/>
      <c r="AH47" s="724"/>
      <c r="AI47" s="724"/>
      <c r="AJ47" s="724"/>
      <c r="AK47" s="724"/>
      <c r="AL47" s="399">
        <f t="shared" si="75"/>
        <v>0</v>
      </c>
      <c r="AM47" s="403"/>
      <c r="AN47" s="724"/>
      <c r="AO47" s="724"/>
      <c r="AP47" s="724"/>
      <c r="AQ47" s="724"/>
      <c r="AR47" s="399">
        <f t="shared" si="76"/>
        <v>0</v>
      </c>
      <c r="AS47" s="580"/>
      <c r="AT47" s="420"/>
      <c r="AU47" s="420"/>
      <c r="AV47" s="420"/>
    </row>
    <row r="48" spans="2:48" ht="12" customHeight="1" outlineLevel="1">
      <c r="B48" s="372"/>
      <c r="C48" s="397" t="s">
        <v>229</v>
      </c>
      <c r="D48" s="397" t="s">
        <v>230</v>
      </c>
      <c r="F48" s="724"/>
      <c r="G48" s="724"/>
      <c r="H48" s="724"/>
      <c r="I48" s="399">
        <f t="shared" si="25"/>
        <v>0</v>
      </c>
      <c r="J48" s="724">
        <f t="shared" si="77"/>
        <v>0</v>
      </c>
      <c r="K48" s="576" t="str">
        <f t="shared" si="36"/>
        <v>N/A</v>
      </c>
      <c r="L48" s="724"/>
      <c r="M48" s="724"/>
      <c r="N48" s="724"/>
      <c r="O48" s="399">
        <f t="shared" si="26"/>
        <v>0</v>
      </c>
      <c r="P48" s="724">
        <f t="shared" si="78"/>
        <v>0</v>
      </c>
      <c r="Q48" s="400" t="str">
        <f t="shared" si="27"/>
        <v>N/A</v>
      </c>
      <c r="R48" s="724"/>
      <c r="S48" s="724"/>
      <c r="T48" s="724"/>
      <c r="U48" s="399">
        <f t="shared" si="28"/>
        <v>0</v>
      </c>
      <c r="V48" s="724">
        <f t="shared" si="79"/>
        <v>0</v>
      </c>
      <c r="W48" s="400" t="str">
        <f t="shared" si="29"/>
        <v>N/A</v>
      </c>
      <c r="X48" s="724"/>
      <c r="Y48" s="724"/>
      <c r="Z48" s="724"/>
      <c r="AA48" s="399">
        <f t="shared" si="30"/>
        <v>0</v>
      </c>
      <c r="AB48" s="724">
        <f t="shared" si="80"/>
        <v>0</v>
      </c>
      <c r="AC48" s="401" t="str">
        <f t="shared" si="31"/>
        <v>N/A</v>
      </c>
      <c r="AD48" s="1309">
        <f t="shared" si="81"/>
        <v>0</v>
      </c>
      <c r="AE48" s="1311">
        <f t="shared" ca="1" si="73"/>
        <v>0</v>
      </c>
      <c r="AF48" s="516">
        <f t="shared" si="74"/>
        <v>0</v>
      </c>
      <c r="AG48" s="403"/>
      <c r="AH48" s="724"/>
      <c r="AI48" s="724"/>
      <c r="AJ48" s="724"/>
      <c r="AK48" s="724"/>
      <c r="AL48" s="399">
        <f t="shared" si="75"/>
        <v>0</v>
      </c>
      <c r="AM48" s="403"/>
      <c r="AN48" s="724"/>
      <c r="AO48" s="724"/>
      <c r="AP48" s="724"/>
      <c r="AQ48" s="724"/>
      <c r="AR48" s="399">
        <f t="shared" si="76"/>
        <v>0</v>
      </c>
      <c r="AS48" s="580"/>
      <c r="AT48" s="420"/>
      <c r="AU48" s="420"/>
      <c r="AV48" s="420"/>
    </row>
    <row r="49" spans="2:48" ht="12.75" customHeight="1" outlineLevel="1">
      <c r="B49" s="372"/>
      <c r="C49" s="430" t="s">
        <v>225</v>
      </c>
      <c r="D49" s="430" t="s">
        <v>226</v>
      </c>
      <c r="F49" s="724"/>
      <c r="G49" s="724"/>
      <c r="H49" s="724"/>
      <c r="I49" s="399">
        <f t="shared" si="25"/>
        <v>0</v>
      </c>
      <c r="J49" s="724">
        <f t="shared" si="77"/>
        <v>0</v>
      </c>
      <c r="K49" s="576" t="str">
        <f t="shared" si="36"/>
        <v>N/A</v>
      </c>
      <c r="L49" s="724"/>
      <c r="M49" s="724"/>
      <c r="N49" s="724"/>
      <c r="O49" s="399">
        <f t="shared" si="26"/>
        <v>0</v>
      </c>
      <c r="P49" s="724">
        <f t="shared" si="78"/>
        <v>0</v>
      </c>
      <c r="Q49" s="400" t="str">
        <f t="shared" si="27"/>
        <v>N/A</v>
      </c>
      <c r="R49" s="724"/>
      <c r="S49" s="724"/>
      <c r="T49" s="724"/>
      <c r="U49" s="399">
        <f t="shared" si="28"/>
        <v>0</v>
      </c>
      <c r="V49" s="724">
        <f t="shared" si="79"/>
        <v>0</v>
      </c>
      <c r="W49" s="400" t="str">
        <f t="shared" si="29"/>
        <v>N/A</v>
      </c>
      <c r="X49" s="724"/>
      <c r="Y49" s="724"/>
      <c r="Z49" s="724"/>
      <c r="AA49" s="399">
        <f t="shared" si="30"/>
        <v>0</v>
      </c>
      <c r="AB49" s="724">
        <f t="shared" si="80"/>
        <v>0</v>
      </c>
      <c r="AC49" s="401" t="str">
        <f t="shared" si="31"/>
        <v>N/A</v>
      </c>
      <c r="AD49" s="1309">
        <f t="shared" si="81"/>
        <v>0</v>
      </c>
      <c r="AE49" s="1311">
        <f t="shared" ca="1" si="73"/>
        <v>0</v>
      </c>
      <c r="AF49" s="516">
        <f t="shared" si="74"/>
        <v>0</v>
      </c>
      <c r="AG49" s="403"/>
      <c r="AH49" s="724"/>
      <c r="AI49" s="724"/>
      <c r="AJ49" s="724"/>
      <c r="AK49" s="724"/>
      <c r="AL49" s="399">
        <f t="shared" si="75"/>
        <v>0</v>
      </c>
      <c r="AM49" s="403"/>
      <c r="AN49" s="724"/>
      <c r="AO49" s="724"/>
      <c r="AP49" s="724"/>
      <c r="AQ49" s="724"/>
      <c r="AR49" s="399">
        <f t="shared" si="76"/>
        <v>0</v>
      </c>
      <c r="AS49" s="580"/>
      <c r="AT49" s="420"/>
      <c r="AU49" s="420"/>
      <c r="AV49" s="420"/>
    </row>
    <row r="50" spans="2:48" ht="12.75" customHeight="1" outlineLevel="1">
      <c r="B50" s="372"/>
      <c r="C50" s="397" t="s">
        <v>231</v>
      </c>
      <c r="D50" s="397" t="s">
        <v>232</v>
      </c>
      <c r="F50" s="724"/>
      <c r="G50" s="724"/>
      <c r="H50" s="724"/>
      <c r="I50" s="399">
        <f t="shared" si="25"/>
        <v>0</v>
      </c>
      <c r="J50" s="724">
        <f t="shared" si="77"/>
        <v>0</v>
      </c>
      <c r="K50" s="576" t="str">
        <f t="shared" si="36"/>
        <v>N/A</v>
      </c>
      <c r="L50" s="724"/>
      <c r="M50" s="724"/>
      <c r="N50" s="724"/>
      <c r="O50" s="399">
        <f t="shared" si="26"/>
        <v>0</v>
      </c>
      <c r="P50" s="724">
        <f t="shared" si="78"/>
        <v>0</v>
      </c>
      <c r="Q50" s="400" t="str">
        <f t="shared" si="27"/>
        <v>N/A</v>
      </c>
      <c r="R50" s="724"/>
      <c r="S50" s="724"/>
      <c r="T50" s="724"/>
      <c r="U50" s="399">
        <f t="shared" si="28"/>
        <v>0</v>
      </c>
      <c r="V50" s="724">
        <f t="shared" si="79"/>
        <v>0</v>
      </c>
      <c r="W50" s="400" t="str">
        <f t="shared" si="29"/>
        <v>N/A</v>
      </c>
      <c r="X50" s="724"/>
      <c r="Y50" s="724"/>
      <c r="Z50" s="724"/>
      <c r="AA50" s="399">
        <f t="shared" si="30"/>
        <v>0</v>
      </c>
      <c r="AB50" s="724">
        <f t="shared" si="80"/>
        <v>0</v>
      </c>
      <c r="AC50" s="401" t="str">
        <f t="shared" si="31"/>
        <v>N/A</v>
      </c>
      <c r="AD50" s="1309">
        <f t="shared" si="81"/>
        <v>0</v>
      </c>
      <c r="AE50" s="1311">
        <f t="shared" ca="1" si="73"/>
        <v>0</v>
      </c>
      <c r="AF50" s="516">
        <f t="shared" si="74"/>
        <v>0</v>
      </c>
      <c r="AG50" s="403"/>
      <c r="AH50" s="724"/>
      <c r="AI50" s="724"/>
      <c r="AJ50" s="724"/>
      <c r="AK50" s="724"/>
      <c r="AL50" s="399">
        <f t="shared" si="75"/>
        <v>0</v>
      </c>
      <c r="AM50" s="403"/>
      <c r="AN50" s="724"/>
      <c r="AO50" s="724"/>
      <c r="AP50" s="724"/>
      <c r="AQ50" s="724"/>
      <c r="AR50" s="399">
        <f t="shared" si="76"/>
        <v>0</v>
      </c>
      <c r="AS50" s="580"/>
      <c r="AT50" s="420"/>
      <c r="AU50" s="420"/>
      <c r="AV50" s="420"/>
    </row>
    <row r="51" spans="2:48" ht="12.75" customHeight="1" outlineLevel="1">
      <c r="B51" s="372"/>
      <c r="C51" s="397" t="s">
        <v>233</v>
      </c>
      <c r="D51" s="397" t="s">
        <v>234</v>
      </c>
      <c r="F51" s="399">
        <f>+Interest_Redemption!G38</f>
        <v>8.2916666666666666E-2</v>
      </c>
      <c r="G51" s="399">
        <f>+Interest_Redemption!H38</f>
        <v>8.2083333333333328E-2</v>
      </c>
      <c r="H51" s="399">
        <f>+Interest_Redemption!I38</f>
        <v>8.1250000000000003E-2</v>
      </c>
      <c r="I51" s="399">
        <f t="shared" si="25"/>
        <v>0.24624999999999997</v>
      </c>
      <c r="J51" s="724">
        <f t="shared" si="77"/>
        <v>0.24624999999999997</v>
      </c>
      <c r="K51" s="576">
        <f t="shared" si="36"/>
        <v>1</v>
      </c>
      <c r="L51" s="399">
        <f>+Interest_Redemption!J38</f>
        <v>8.0416666666666664E-2</v>
      </c>
      <c r="M51" s="399">
        <f>+Interest_Redemption!K38</f>
        <v>7.9583333333333339E-2</v>
      </c>
      <c r="N51" s="399">
        <f>+Interest_Redemption!L38</f>
        <v>7.8750000000000001E-2</v>
      </c>
      <c r="O51" s="399">
        <f t="shared" si="26"/>
        <v>0.23875000000000002</v>
      </c>
      <c r="P51" s="724">
        <f t="shared" si="78"/>
        <v>0.23875000000000002</v>
      </c>
      <c r="Q51" s="400">
        <f t="shared" si="27"/>
        <v>1</v>
      </c>
      <c r="R51" s="399">
        <f>+Interest_Redemption!M38</f>
        <v>7.7916666666666676E-2</v>
      </c>
      <c r="S51" s="399">
        <f>+Interest_Redemption!N38</f>
        <v>7.7083333333333337E-2</v>
      </c>
      <c r="T51" s="399">
        <f>+Interest_Redemption!O38</f>
        <v>7.6250000000000012E-2</v>
      </c>
      <c r="U51" s="399">
        <f t="shared" si="28"/>
        <v>0.23125000000000004</v>
      </c>
      <c r="V51" s="724">
        <f t="shared" si="79"/>
        <v>0.23125000000000004</v>
      </c>
      <c r="W51" s="400">
        <f t="shared" si="29"/>
        <v>1</v>
      </c>
      <c r="X51" s="399">
        <f>+Interest_Redemption!P38</f>
        <v>7.541666666666666E-2</v>
      </c>
      <c r="Y51" s="399">
        <f>+Interest_Redemption!Q38</f>
        <v>7.4583333333333335E-2</v>
      </c>
      <c r="Z51" s="399">
        <f>+Interest_Redemption!R38</f>
        <v>7.3749999999999996E-2</v>
      </c>
      <c r="AA51" s="399">
        <f t="shared" si="30"/>
        <v>0.22375</v>
      </c>
      <c r="AB51" s="724">
        <f t="shared" si="80"/>
        <v>0.22375</v>
      </c>
      <c r="AC51" s="401">
        <f t="shared" si="31"/>
        <v>1</v>
      </c>
      <c r="AD51" s="1309">
        <f t="shared" si="81"/>
        <v>0.94000000000000006</v>
      </c>
      <c r="AE51" s="1311">
        <f t="shared" ca="1" si="73"/>
        <v>0.24624999999999997</v>
      </c>
      <c r="AF51" s="516">
        <f t="shared" si="74"/>
        <v>0.94000000000000006</v>
      </c>
      <c r="AG51" s="403"/>
      <c r="AH51" s="399">
        <f>Interest_Redemption!T38</f>
        <v>0.21624999999999997</v>
      </c>
      <c r="AI51" s="399">
        <f>Interest_Redemption!U38</f>
        <v>0.20874999999999999</v>
      </c>
      <c r="AJ51" s="399">
        <f>Interest_Redemption!V38</f>
        <v>0.20125000000000004</v>
      </c>
      <c r="AK51" s="399">
        <f>Interest_Redemption!W38</f>
        <v>0.19375000000000001</v>
      </c>
      <c r="AL51" s="399">
        <f>SUM(AH51:AK51)</f>
        <v>0.82</v>
      </c>
      <c r="AM51" s="403"/>
      <c r="AN51" s="399">
        <f>Interest_Redemption!Y38</f>
        <v>0.18625</v>
      </c>
      <c r="AO51" s="399">
        <f>Interest_Redemption!Z38</f>
        <v>0.17875000000000002</v>
      </c>
      <c r="AP51" s="399">
        <f>Interest_Redemption!AA38</f>
        <v>0.17125000000000001</v>
      </c>
      <c r="AQ51" s="399">
        <f>Interest_Redemption!AB38</f>
        <v>0.16375000000000001</v>
      </c>
      <c r="AR51" s="399">
        <f>SUM(AN51:AQ51)</f>
        <v>0.7</v>
      </c>
      <c r="AS51" s="580"/>
      <c r="AT51" s="420"/>
      <c r="AU51" s="420"/>
      <c r="AV51" s="420"/>
    </row>
    <row r="52" spans="2:48" ht="12.75" customHeight="1" outlineLevel="1">
      <c r="B52" s="372"/>
      <c r="C52" s="430" t="s">
        <v>235</v>
      </c>
      <c r="D52" s="430" t="s">
        <v>226</v>
      </c>
      <c r="F52" s="724"/>
      <c r="G52" s="724"/>
      <c r="H52" s="724"/>
      <c r="I52" s="399">
        <f t="shared" si="25"/>
        <v>0</v>
      </c>
      <c r="J52" s="724">
        <f t="shared" si="77"/>
        <v>0</v>
      </c>
      <c r="K52" s="576" t="str">
        <f t="shared" si="36"/>
        <v>N/A</v>
      </c>
      <c r="L52" s="724"/>
      <c r="M52" s="724"/>
      <c r="N52" s="724"/>
      <c r="O52" s="399">
        <f t="shared" si="26"/>
        <v>0</v>
      </c>
      <c r="P52" s="724">
        <f t="shared" si="78"/>
        <v>0</v>
      </c>
      <c r="Q52" s="400" t="str">
        <f t="shared" si="27"/>
        <v>N/A</v>
      </c>
      <c r="R52" s="724"/>
      <c r="S52" s="724"/>
      <c r="T52" s="724"/>
      <c r="U52" s="399">
        <f t="shared" si="28"/>
        <v>0</v>
      </c>
      <c r="V52" s="724">
        <f t="shared" si="79"/>
        <v>0</v>
      </c>
      <c r="W52" s="400" t="str">
        <f t="shared" si="29"/>
        <v>N/A</v>
      </c>
      <c r="X52" s="724"/>
      <c r="Y52" s="724"/>
      <c r="Z52" s="724"/>
      <c r="AA52" s="399">
        <f t="shared" si="30"/>
        <v>0</v>
      </c>
      <c r="AB52" s="724">
        <f t="shared" si="80"/>
        <v>0</v>
      </c>
      <c r="AC52" s="401" t="str">
        <f t="shared" si="31"/>
        <v>N/A</v>
      </c>
      <c r="AD52" s="1309">
        <f t="shared" si="81"/>
        <v>0</v>
      </c>
      <c r="AE52" s="1311">
        <f t="shared" ca="1" si="73"/>
        <v>0</v>
      </c>
      <c r="AF52" s="516">
        <f t="shared" si="74"/>
        <v>0</v>
      </c>
      <c r="AG52" s="403"/>
      <c r="AH52" s="724"/>
      <c r="AI52" s="724"/>
      <c r="AJ52" s="724"/>
      <c r="AK52" s="1106"/>
      <c r="AL52" s="399">
        <f>SUM(AH52:AK52)</f>
        <v>0</v>
      </c>
      <c r="AM52" s="403"/>
      <c r="AN52" s="1106"/>
      <c r="AO52" s="1106"/>
      <c r="AP52" s="1106"/>
      <c r="AQ52" s="1106"/>
      <c r="AR52" s="399">
        <f>SUM(AN52:AQ52)</f>
        <v>0</v>
      </c>
      <c r="AS52" s="580"/>
      <c r="AT52" s="420"/>
      <c r="AU52" s="420"/>
      <c r="AV52" s="420"/>
    </row>
    <row r="53" spans="2:48" ht="12" customHeight="1">
      <c r="B53" s="372"/>
      <c r="C53" s="404"/>
      <c r="D53" s="404"/>
      <c r="F53" s="399"/>
      <c r="G53" s="399"/>
      <c r="H53" s="399"/>
      <c r="I53" s="399"/>
      <c r="J53" s="399"/>
      <c r="K53" s="576"/>
      <c r="L53" s="399"/>
      <c r="M53" s="399"/>
      <c r="N53" s="399"/>
      <c r="O53" s="399"/>
      <c r="P53" s="399"/>
      <c r="Q53" s="400"/>
      <c r="R53" s="399"/>
      <c r="S53" s="399"/>
      <c r="T53" s="399"/>
      <c r="U53" s="399"/>
      <c r="V53" s="399"/>
      <c r="W53" s="400"/>
      <c r="X53" s="399"/>
      <c r="Y53" s="399"/>
      <c r="Z53" s="399"/>
      <c r="AA53" s="399"/>
      <c r="AB53" s="399"/>
      <c r="AC53" s="401"/>
      <c r="AD53" s="399"/>
      <c r="AE53" s="392"/>
      <c r="AF53" s="516"/>
      <c r="AG53" s="403"/>
      <c r="AH53" s="399"/>
      <c r="AI53" s="518"/>
      <c r="AJ53" s="518"/>
      <c r="AK53" s="518"/>
      <c r="AL53" s="518"/>
      <c r="AM53" s="403"/>
      <c r="AN53" s="399"/>
      <c r="AO53" s="518"/>
      <c r="AP53" s="518"/>
      <c r="AQ53" s="518"/>
      <c r="AR53" s="518"/>
      <c r="AS53" s="580"/>
      <c r="AT53" s="420"/>
      <c r="AU53" s="420"/>
      <c r="AV53" s="420"/>
    </row>
    <row r="54" spans="2:48" ht="12.75" customHeight="1">
      <c r="B54" s="372"/>
      <c r="C54" s="791" t="s">
        <v>131</v>
      </c>
      <c r="D54" s="791" t="s">
        <v>70</v>
      </c>
      <c r="F54" s="803">
        <f>F44+F46+F48-F50-F51</f>
        <v>-8.2916666666666666E-2</v>
      </c>
      <c r="G54" s="803">
        <f>G44+G46+G48-G50-G51</f>
        <v>-8.2083333333333328E-2</v>
      </c>
      <c r="H54" s="803">
        <f>H44+H46+H48-H50-H51</f>
        <v>-8.1250000000000003E-2</v>
      </c>
      <c r="I54" s="803">
        <f>I44+I46+I48+-I50-I51</f>
        <v>-0.24624999999999997</v>
      </c>
      <c r="J54" s="803">
        <f>J44+J46+J48-J50-J51</f>
        <v>-0.24624999999999997</v>
      </c>
      <c r="K54" s="808">
        <f t="shared" si="36"/>
        <v>1</v>
      </c>
      <c r="L54" s="803">
        <f>L44+L46+L48-L50-L51</f>
        <v>-8.0416666666666664E-2</v>
      </c>
      <c r="M54" s="803">
        <f>M44+M46+M48-M50-M51</f>
        <v>-7.9583333333333339E-2</v>
      </c>
      <c r="N54" s="803">
        <f>N44+N46+N48-N50-N51</f>
        <v>-7.8750000000000001E-2</v>
      </c>
      <c r="O54" s="803">
        <f>O44+O46+O48+-O50-O51</f>
        <v>-0.23875000000000002</v>
      </c>
      <c r="P54" s="803">
        <f>P44+P46+P48-P50-P51</f>
        <v>-0.23875000000000002</v>
      </c>
      <c r="Q54" s="809" t="str">
        <f t="shared" si="27"/>
        <v>N/A</v>
      </c>
      <c r="R54" s="803">
        <f>R44+R46+R48-R50-R51</f>
        <v>-7.7916666666666676E-2</v>
      </c>
      <c r="S54" s="803">
        <f>S44+S46+S48-S50-S51</f>
        <v>-7.7083333333333337E-2</v>
      </c>
      <c r="T54" s="803">
        <f>T44+T46+T48-T50-T51</f>
        <v>-7.6250000000000012E-2</v>
      </c>
      <c r="U54" s="803">
        <f>U44+U46+U48+-U50-U51</f>
        <v>-0.23125000000000004</v>
      </c>
      <c r="V54" s="803">
        <f>V44+V46+V48-V50-V51</f>
        <v>-0.23125000000000004</v>
      </c>
      <c r="W54" s="809" t="str">
        <f t="shared" si="29"/>
        <v>N/A</v>
      </c>
      <c r="X54" s="803">
        <f>X44+X46+X48+-X50-X51</f>
        <v>-7.541666666666666E-2</v>
      </c>
      <c r="Y54" s="803">
        <f>Y44+Y46+Y48-Y50-Y51</f>
        <v>-7.4583333333333335E-2</v>
      </c>
      <c r="Z54" s="803">
        <f>Z44+Z46+Z48-Z50-Z51</f>
        <v>-7.3749999999999996E-2</v>
      </c>
      <c r="AA54" s="803">
        <f>AA44+AA46+AA48-AA50-AA51</f>
        <v>-0.22375</v>
      </c>
      <c r="AB54" s="803">
        <f>AB44+AB46+AB48+-AB50-AB51</f>
        <v>-0.22375</v>
      </c>
      <c r="AC54" s="810" t="str">
        <f t="shared" si="31"/>
        <v>N/A</v>
      </c>
      <c r="AD54" s="803">
        <f>I54+O54+U54+AA54</f>
        <v>-0.94000000000000006</v>
      </c>
      <c r="AE54" s="803">
        <f t="shared" ca="1" si="73"/>
        <v>-0.24624999999999997</v>
      </c>
      <c r="AF54" s="803">
        <f t="shared" si="74"/>
        <v>-0.94000000000000006</v>
      </c>
      <c r="AG54" s="403"/>
      <c r="AH54" s="793">
        <f>SUM(AH44:AH53)</f>
        <v>0.21624999999999997</v>
      </c>
      <c r="AI54" s="793">
        <f t="shared" ref="AI54:AJ54" si="82">SUM(AI44:AI53)</f>
        <v>0.20874999999999999</v>
      </c>
      <c r="AJ54" s="793">
        <f t="shared" si="82"/>
        <v>0.20125000000000004</v>
      </c>
      <c r="AK54" s="793">
        <f>SUM(AK44:AK53)</f>
        <v>0.19375000000000001</v>
      </c>
      <c r="AL54" s="806">
        <f>SUM(AL44:AL53)</f>
        <v>0.82</v>
      </c>
      <c r="AM54" s="403"/>
      <c r="AN54" s="793">
        <f>SUM(AN44:AN53)</f>
        <v>0.18625</v>
      </c>
      <c r="AO54" s="793">
        <f t="shared" ref="AO54" si="83">SUM(AO44:AO53)</f>
        <v>0.17875000000000002</v>
      </c>
      <c r="AP54" s="793">
        <f t="shared" ref="AP54" si="84">SUM(AP44:AP53)</f>
        <v>0.17125000000000001</v>
      </c>
      <c r="AQ54" s="793">
        <f>SUM(AQ44:AQ53)</f>
        <v>0.16375000000000001</v>
      </c>
      <c r="AR54" s="806">
        <f>SUM(AR44:AR53)</f>
        <v>0.7</v>
      </c>
      <c r="AS54" s="580"/>
      <c r="AT54" s="420"/>
      <c r="AU54" s="420"/>
      <c r="AV54" s="420"/>
    </row>
    <row r="55" spans="2:48" ht="15" customHeight="1">
      <c r="B55" s="372"/>
      <c r="C55" s="431"/>
      <c r="D55" s="431"/>
      <c r="F55" s="599"/>
      <c r="G55" s="420"/>
      <c r="H55" s="420"/>
      <c r="I55" s="420"/>
      <c r="J55" s="420"/>
      <c r="K55" s="600"/>
      <c r="L55" s="420"/>
      <c r="M55" s="420"/>
      <c r="N55" s="420"/>
      <c r="O55" s="420"/>
      <c r="P55" s="420"/>
      <c r="Q55" s="443"/>
      <c r="R55" s="420"/>
      <c r="S55" s="420"/>
      <c r="T55" s="420"/>
      <c r="U55" s="420"/>
      <c r="V55" s="420"/>
      <c r="W55" s="443"/>
      <c r="X55" s="420"/>
      <c r="Y55" s="420"/>
      <c r="Z55" s="420"/>
      <c r="AA55" s="420"/>
      <c r="AB55" s="420"/>
      <c r="AC55" s="601"/>
      <c r="AD55" s="420"/>
      <c r="AE55" s="434"/>
      <c r="AF55" s="412"/>
      <c r="AG55" s="1306"/>
      <c r="AH55" s="1307"/>
      <c r="AI55" s="420"/>
      <c r="AJ55" s="420"/>
      <c r="AK55" s="420"/>
      <c r="AL55" s="420"/>
      <c r="AM55" s="1306"/>
      <c r="AN55" s="1307"/>
      <c r="AO55" s="420"/>
      <c r="AP55" s="420"/>
      <c r="AQ55" s="420"/>
      <c r="AR55" s="420"/>
      <c r="AS55" s="580"/>
      <c r="AT55" s="420"/>
      <c r="AU55" s="420"/>
      <c r="AV55" s="420"/>
    </row>
    <row r="56" spans="2:48" s="408" customFormat="1" ht="17" customHeight="1">
      <c r="B56" s="432"/>
      <c r="C56" s="804" t="s">
        <v>236</v>
      </c>
      <c r="D56" s="804" t="s">
        <v>242</v>
      </c>
      <c r="E56" s="374"/>
      <c r="F56" s="793">
        <f ca="1">F43+F54</f>
        <v>-27.612671627666668</v>
      </c>
      <c r="G56" s="793">
        <f ca="1">G43+G54</f>
        <v>-20.380558294333333</v>
      </c>
      <c r="H56" s="793">
        <f ca="1">H43+H54</f>
        <v>-18.531204961</v>
      </c>
      <c r="I56" s="793">
        <f ca="1">I43+I54</f>
        <v>-66.524434883000012</v>
      </c>
      <c r="J56" s="793">
        <f ca="1">J43+J54</f>
        <v>-50.674419883000006</v>
      </c>
      <c r="K56" s="794">
        <f t="shared" ca="1" si="36"/>
        <v>0.76174145593455622</v>
      </c>
      <c r="L56" s="793">
        <f ca="1">L43+L54</f>
        <v>-17.961651627666665</v>
      </c>
      <c r="M56" s="793">
        <f ca="1">M43+M54</f>
        <v>-18.966278294333328</v>
      </c>
      <c r="N56" s="793">
        <f ca="1">N43+N54</f>
        <v>-13.302104960999998</v>
      </c>
      <c r="O56" s="793">
        <f ca="1">O43+O54</f>
        <v>-50.230034883000002</v>
      </c>
      <c r="P56" s="793">
        <f ca="1">P43+P54</f>
        <v>-50.230034883000002</v>
      </c>
      <c r="Q56" s="795" t="str">
        <f t="shared" ca="1" si="27"/>
        <v>N/A</v>
      </c>
      <c r="R56" s="793">
        <f ca="1">R43+R54</f>
        <v>-18.262271627666664</v>
      </c>
      <c r="S56" s="793">
        <f ca="1">S43+S54</f>
        <v>-17.916898294333333</v>
      </c>
      <c r="T56" s="793">
        <f ca="1">T43+T54</f>
        <v>-13.213644960999998</v>
      </c>
      <c r="U56" s="793">
        <f ca="1">U43+U54</f>
        <v>-49.392814883</v>
      </c>
      <c r="V56" s="793">
        <f ca="1">V43+V54</f>
        <v>-49.392814883</v>
      </c>
      <c r="W56" s="795" t="str">
        <f t="shared" ca="1" si="29"/>
        <v>N/A</v>
      </c>
      <c r="X56" s="793">
        <f ca="1">X43+X54</f>
        <v>-17.074591627666663</v>
      </c>
      <c r="Y56" s="793">
        <f ca="1">Y43+Y54</f>
        <v>-17.569858294333333</v>
      </c>
      <c r="Z56" s="793">
        <f ca="1">Z43+Z54</f>
        <v>-15.330724960999998</v>
      </c>
      <c r="AA56" s="793">
        <f ca="1">AA43+AA54</f>
        <v>-49.975174883000001</v>
      </c>
      <c r="AB56" s="793">
        <f ca="1">AB43+AB54</f>
        <v>-19.025189882999992</v>
      </c>
      <c r="AC56" s="796" t="str">
        <f t="shared" ca="1" si="31"/>
        <v>N/A</v>
      </c>
      <c r="AD56" s="793">
        <f ca="1">I56+O56+U56+AA56</f>
        <v>-216.12245953200002</v>
      </c>
      <c r="AE56" s="803">
        <f t="shared" ca="1" si="73"/>
        <v>-50.674419883000006</v>
      </c>
      <c r="AF56" s="803">
        <f t="shared" ca="1" si="74"/>
        <v>-169.32245953200001</v>
      </c>
      <c r="AG56" s="403"/>
      <c r="AH56" s="793">
        <f ca="1">AH43+AH54</f>
        <v>-52.930783765999983</v>
      </c>
      <c r="AI56" s="793">
        <f t="shared" ref="AI56:AL56" ca="1" si="85">AI43+AI54</f>
        <v>-29.087263765999989</v>
      </c>
      <c r="AJ56" s="793">
        <f t="shared" ca="1" si="85"/>
        <v>-26.71738376599999</v>
      </c>
      <c r="AK56" s="793">
        <f t="shared" ca="1" si="85"/>
        <v>-27.919767765999993</v>
      </c>
      <c r="AL56" s="793">
        <f t="shared" ca="1" si="85"/>
        <v>-136.65519906399999</v>
      </c>
      <c r="AM56" s="403"/>
      <c r="AN56" s="793">
        <f ca="1">AN43+AN54</f>
        <v>-42.441768414999991</v>
      </c>
      <c r="AO56" s="793">
        <f t="shared" ref="AO56:AR56" ca="1" si="86">AO43+AO54</f>
        <v>2.5668115849999884</v>
      </c>
      <c r="AP56" s="793">
        <f t="shared" ca="1" si="86"/>
        <v>3.1312315849999943</v>
      </c>
      <c r="AQ56" s="793">
        <f t="shared" ca="1" si="86"/>
        <v>-0.368812415000001</v>
      </c>
      <c r="AR56" s="793">
        <f t="shared" ca="1" si="86"/>
        <v>-37.112537659999994</v>
      </c>
      <c r="AS56" s="585"/>
      <c r="AT56" s="428"/>
      <c r="AU56" s="428"/>
      <c r="AV56" s="428"/>
    </row>
    <row r="57" spans="2:48" ht="15.75" customHeight="1">
      <c r="B57" s="372"/>
      <c r="C57" s="433" t="s">
        <v>293</v>
      </c>
      <c r="D57" s="433" t="s">
        <v>72</v>
      </c>
      <c r="F57" s="724"/>
      <c r="G57" s="724"/>
      <c r="H57" s="724"/>
      <c r="I57" s="416">
        <f t="shared" si="25"/>
        <v>0</v>
      </c>
      <c r="J57" s="724">
        <f>+I57</f>
        <v>0</v>
      </c>
      <c r="K57" s="589" t="str">
        <f t="shared" si="36"/>
        <v>N/A</v>
      </c>
      <c r="L57" s="724"/>
      <c r="M57" s="724"/>
      <c r="N57" s="724"/>
      <c r="O57" s="416">
        <f t="shared" si="26"/>
        <v>0</v>
      </c>
      <c r="P57" s="724">
        <f>+O57</f>
        <v>0</v>
      </c>
      <c r="Q57" s="417" t="str">
        <f t="shared" si="27"/>
        <v>N/A</v>
      </c>
      <c r="R57" s="724"/>
      <c r="S57" s="724"/>
      <c r="T57" s="724"/>
      <c r="U57" s="416">
        <f t="shared" si="28"/>
        <v>0</v>
      </c>
      <c r="V57" s="724">
        <f>+U57</f>
        <v>0</v>
      </c>
      <c r="W57" s="417" t="str">
        <f t="shared" si="29"/>
        <v>N/A</v>
      </c>
      <c r="X57" s="724"/>
      <c r="Y57" s="724"/>
      <c r="Z57" s="724"/>
      <c r="AA57" s="416">
        <f t="shared" si="30"/>
        <v>0</v>
      </c>
      <c r="AB57" s="724">
        <f>+AA57</f>
        <v>0</v>
      </c>
      <c r="AC57" s="418" t="str">
        <f t="shared" si="31"/>
        <v>N/A</v>
      </c>
      <c r="AD57" s="416">
        <f>I57+O57+U57+AA57</f>
        <v>0</v>
      </c>
      <c r="AE57" s="529">
        <f t="shared" ref="AE57:AE59" ca="1" si="87">SUMIF($I$4:$AD$4,"x",I57:AB57)</f>
        <v>0</v>
      </c>
      <c r="AF57" s="516">
        <f>SUMIF($I$4:$AE$4,"x",I57:AE57)</f>
        <v>0</v>
      </c>
      <c r="AG57" s="403"/>
      <c r="AH57" s="724"/>
      <c r="AI57" s="724"/>
      <c r="AJ57" s="724"/>
      <c r="AK57" s="724"/>
      <c r="AL57" s="420">
        <f>SUM(AH57:AK57)</f>
        <v>0</v>
      </c>
      <c r="AM57" s="403"/>
      <c r="AN57" s="724"/>
      <c r="AO57" s="724"/>
      <c r="AP57" s="724"/>
      <c r="AQ57" s="724"/>
      <c r="AR57" s="420">
        <f>SUM(AN57:AQ57)</f>
        <v>0</v>
      </c>
      <c r="AS57" s="580"/>
      <c r="AT57" s="420"/>
      <c r="AU57" s="420"/>
      <c r="AV57" s="420"/>
    </row>
    <row r="58" spans="2:48" ht="12.75" customHeight="1">
      <c r="B58" s="372"/>
      <c r="C58" s="435" t="s">
        <v>237</v>
      </c>
      <c r="D58" s="435" t="s">
        <v>71</v>
      </c>
      <c r="F58" s="724"/>
      <c r="G58" s="724"/>
      <c r="H58" s="724"/>
      <c r="I58" s="423">
        <f t="shared" si="25"/>
        <v>0</v>
      </c>
      <c r="J58" s="724">
        <f>+I58</f>
        <v>0</v>
      </c>
      <c r="K58" s="591" t="str">
        <f t="shared" si="36"/>
        <v>N/A</v>
      </c>
      <c r="L58" s="724"/>
      <c r="M58" s="724"/>
      <c r="N58" s="724"/>
      <c r="O58" s="423">
        <f t="shared" si="26"/>
        <v>0</v>
      </c>
      <c r="P58" s="724">
        <f>+O58</f>
        <v>0</v>
      </c>
      <c r="Q58" s="424" t="str">
        <f t="shared" si="27"/>
        <v>N/A</v>
      </c>
      <c r="R58" s="724"/>
      <c r="S58" s="724"/>
      <c r="T58" s="724"/>
      <c r="U58" s="423">
        <f t="shared" si="28"/>
        <v>0</v>
      </c>
      <c r="V58" s="724">
        <f>+U58</f>
        <v>0</v>
      </c>
      <c r="W58" s="424" t="str">
        <f t="shared" si="29"/>
        <v>N/A</v>
      </c>
      <c r="X58" s="724"/>
      <c r="Y58" s="724"/>
      <c r="Z58" s="724"/>
      <c r="AA58" s="423">
        <f t="shared" si="30"/>
        <v>0</v>
      </c>
      <c r="AB58" s="724">
        <f>+AA58</f>
        <v>0</v>
      </c>
      <c r="AC58" s="425" t="str">
        <f t="shared" si="31"/>
        <v>N/A</v>
      </c>
      <c r="AD58" s="423">
        <f>I58+O58+U58+AA58</f>
        <v>0</v>
      </c>
      <c r="AE58" s="529">
        <f t="shared" ca="1" si="87"/>
        <v>0</v>
      </c>
      <c r="AF58" s="516">
        <f>SUMIF($I$4:$AE$4,"x",I58:AE58)</f>
        <v>0</v>
      </c>
      <c r="AG58" s="403"/>
      <c r="AH58" s="724"/>
      <c r="AI58" s="724"/>
      <c r="AJ58" s="724"/>
      <c r="AK58" s="724"/>
      <c r="AL58" s="420">
        <f>SUM(AH58:AK58)</f>
        <v>0</v>
      </c>
      <c r="AM58" s="403"/>
      <c r="AN58" s="724"/>
      <c r="AO58" s="724"/>
      <c r="AP58" s="724"/>
      <c r="AQ58" s="724"/>
      <c r="AR58" s="420">
        <f>SUM(AN58:AQ58)</f>
        <v>0</v>
      </c>
      <c r="AS58" s="580"/>
      <c r="AT58" s="420"/>
      <c r="AU58" s="420"/>
      <c r="AV58" s="420"/>
    </row>
    <row r="59" spans="2:48" ht="14" customHeight="1">
      <c r="B59" s="372"/>
      <c r="C59" s="804" t="s">
        <v>135</v>
      </c>
      <c r="D59" s="804" t="s">
        <v>73</v>
      </c>
      <c r="F59" s="793">
        <f>F57-F58</f>
        <v>0</v>
      </c>
      <c r="G59" s="793">
        <f>G57-G58</f>
        <v>0</v>
      </c>
      <c r="H59" s="793">
        <f>H57-H58</f>
        <v>0</v>
      </c>
      <c r="I59" s="793">
        <f t="shared" si="25"/>
        <v>0</v>
      </c>
      <c r="J59" s="793">
        <v>0</v>
      </c>
      <c r="K59" s="794" t="str">
        <f t="shared" si="36"/>
        <v>N/A</v>
      </c>
      <c r="L59" s="793">
        <f>L57-L58</f>
        <v>0</v>
      </c>
      <c r="M59" s="793">
        <f>M57-M58</f>
        <v>0</v>
      </c>
      <c r="N59" s="793">
        <f>N57-N58</f>
        <v>0</v>
      </c>
      <c r="O59" s="793">
        <f t="shared" si="26"/>
        <v>0</v>
      </c>
      <c r="P59" s="793">
        <f>P57-P58</f>
        <v>0</v>
      </c>
      <c r="Q59" s="795" t="str">
        <f t="shared" si="27"/>
        <v>N/A</v>
      </c>
      <c r="R59" s="793">
        <f>R57-R58</f>
        <v>0</v>
      </c>
      <c r="S59" s="793">
        <f>S57-S58</f>
        <v>0</v>
      </c>
      <c r="T59" s="793">
        <f>T57-T58</f>
        <v>0</v>
      </c>
      <c r="U59" s="793">
        <f t="shared" si="28"/>
        <v>0</v>
      </c>
      <c r="V59" s="793">
        <f>V57-V58</f>
        <v>0</v>
      </c>
      <c r="W59" s="795" t="str">
        <f t="shared" si="29"/>
        <v>N/A</v>
      </c>
      <c r="X59" s="793">
        <f>X57-X58</f>
        <v>0</v>
      </c>
      <c r="Y59" s="793">
        <f>Y57-Y58</f>
        <v>0</v>
      </c>
      <c r="Z59" s="793">
        <f>Z57-Z58</f>
        <v>0</v>
      </c>
      <c r="AA59" s="793">
        <f t="shared" si="30"/>
        <v>0</v>
      </c>
      <c r="AB59" s="793">
        <v>0</v>
      </c>
      <c r="AC59" s="796" t="str">
        <f t="shared" si="31"/>
        <v>N/A</v>
      </c>
      <c r="AD59" s="793">
        <f>I59+O59+U59+AA59</f>
        <v>0</v>
      </c>
      <c r="AE59" s="803">
        <f t="shared" ca="1" si="87"/>
        <v>0</v>
      </c>
      <c r="AF59" s="803">
        <f t="shared" ref="AF59" si="88">SUM(J59,P59,V59,AB59)</f>
        <v>0</v>
      </c>
      <c r="AG59" s="403"/>
      <c r="AH59" s="793">
        <f>SUM(AH57:AH58)</f>
        <v>0</v>
      </c>
      <c r="AI59" s="793">
        <f t="shared" ref="AI59:AL59" si="89">SUM(AI57:AI58)</f>
        <v>0</v>
      </c>
      <c r="AJ59" s="793">
        <f t="shared" si="89"/>
        <v>0</v>
      </c>
      <c r="AK59" s="793">
        <f t="shared" si="89"/>
        <v>0</v>
      </c>
      <c r="AL59" s="793">
        <f t="shared" si="89"/>
        <v>0</v>
      </c>
      <c r="AM59" s="403"/>
      <c r="AN59" s="793">
        <f>SUM(AN57:AN58)</f>
        <v>0</v>
      </c>
      <c r="AO59" s="793">
        <f t="shared" ref="AO59" si="90">SUM(AO57:AO58)</f>
        <v>0</v>
      </c>
      <c r="AP59" s="793">
        <f t="shared" ref="AP59" si="91">SUM(AP57:AP58)</f>
        <v>0</v>
      </c>
      <c r="AQ59" s="793">
        <f t="shared" ref="AQ59" si="92">SUM(AQ57:AQ58)</f>
        <v>0</v>
      </c>
      <c r="AR59" s="793">
        <f t="shared" ref="AR59" si="93">SUM(AR57:AR58)</f>
        <v>0</v>
      </c>
      <c r="AS59" s="580"/>
      <c r="AT59" s="420"/>
      <c r="AU59" s="420"/>
      <c r="AV59" s="420"/>
    </row>
    <row r="60" spans="2:48" ht="15" customHeight="1">
      <c r="B60" s="372"/>
      <c r="C60" s="431"/>
      <c r="D60" s="431"/>
      <c r="F60" s="599"/>
      <c r="G60" s="420"/>
      <c r="H60" s="420"/>
      <c r="I60" s="420"/>
      <c r="J60" s="420"/>
      <c r="K60" s="600"/>
      <c r="L60" s="420"/>
      <c r="M60" s="420"/>
      <c r="N60" s="420"/>
      <c r="O60" s="420"/>
      <c r="P60" s="420"/>
      <c r="Q60" s="443"/>
      <c r="R60" s="420"/>
      <c r="S60" s="420"/>
      <c r="T60" s="420"/>
      <c r="U60" s="420"/>
      <c r="V60" s="420"/>
      <c r="W60" s="443"/>
      <c r="X60" s="420"/>
      <c r="Y60" s="420"/>
      <c r="Z60" s="420"/>
      <c r="AA60" s="420"/>
      <c r="AB60" s="420"/>
      <c r="AC60" s="443"/>
      <c r="AD60" s="420"/>
      <c r="AE60" s="602"/>
      <c r="AF60" s="412"/>
      <c r="AG60" s="1306"/>
      <c r="AH60" s="1307"/>
      <c r="AI60" s="420"/>
      <c r="AJ60" s="420"/>
      <c r="AK60" s="420"/>
      <c r="AL60" s="420"/>
      <c r="AM60" s="1306"/>
      <c r="AN60" s="1307"/>
      <c r="AO60" s="420"/>
      <c r="AP60" s="420"/>
      <c r="AQ60" s="420"/>
      <c r="AR60" s="420"/>
      <c r="AS60" s="580"/>
      <c r="AT60" s="420"/>
      <c r="AU60" s="420"/>
      <c r="AV60" s="420"/>
    </row>
    <row r="61" spans="2:48" s="408" customFormat="1" ht="18" customHeight="1">
      <c r="B61" s="407"/>
      <c r="C61" s="805" t="s">
        <v>74</v>
      </c>
      <c r="D61" s="805" t="s">
        <v>74</v>
      </c>
      <c r="E61" s="374"/>
      <c r="F61" s="793">
        <f ca="1">F56+F59</f>
        <v>-27.612671627666668</v>
      </c>
      <c r="G61" s="793">
        <f ca="1">G56+G59</f>
        <v>-20.380558294333333</v>
      </c>
      <c r="H61" s="793">
        <f ca="1">H56+H59</f>
        <v>-18.531204961</v>
      </c>
      <c r="I61" s="793">
        <f ca="1">I56+I59</f>
        <v>-66.524434883000012</v>
      </c>
      <c r="J61" s="793">
        <f ca="1">J56+J59</f>
        <v>-50.674419883000006</v>
      </c>
      <c r="K61" s="794">
        <f t="shared" ca="1" si="36"/>
        <v>0.76174145593455622</v>
      </c>
      <c r="L61" s="793">
        <f ca="1">L56+L59</f>
        <v>-17.961651627666665</v>
      </c>
      <c r="M61" s="793">
        <f ca="1">M56+M59</f>
        <v>-18.966278294333328</v>
      </c>
      <c r="N61" s="793">
        <f ca="1">N56+N59</f>
        <v>-13.302104960999998</v>
      </c>
      <c r="O61" s="793">
        <f ca="1">O56+O59</f>
        <v>-50.230034883000002</v>
      </c>
      <c r="P61" s="793">
        <f ca="1">P56+P59</f>
        <v>-50.230034883000002</v>
      </c>
      <c r="Q61" s="795" t="str">
        <f t="shared" ca="1" si="27"/>
        <v>N/A</v>
      </c>
      <c r="R61" s="793">
        <f ca="1">R56+R59</f>
        <v>-18.262271627666664</v>
      </c>
      <c r="S61" s="793">
        <f ca="1">S56+S59</f>
        <v>-17.916898294333333</v>
      </c>
      <c r="T61" s="793">
        <f ca="1">T56+T59</f>
        <v>-13.213644960999998</v>
      </c>
      <c r="U61" s="793">
        <f ca="1">U56+U59</f>
        <v>-49.392814883</v>
      </c>
      <c r="V61" s="793">
        <f ca="1">V56+V59</f>
        <v>-49.392814883</v>
      </c>
      <c r="W61" s="795" t="str">
        <f t="shared" ca="1" si="29"/>
        <v>N/A</v>
      </c>
      <c r="X61" s="793">
        <f ca="1">X56+X59</f>
        <v>-17.074591627666663</v>
      </c>
      <c r="Y61" s="793">
        <f ca="1">Y56+Y59</f>
        <v>-17.569858294333333</v>
      </c>
      <c r="Z61" s="793">
        <f ca="1">Z56+Z59</f>
        <v>-15.330724960999998</v>
      </c>
      <c r="AA61" s="793">
        <f ca="1">AA56+AA59</f>
        <v>-49.975174883000001</v>
      </c>
      <c r="AB61" s="793">
        <f ca="1">AB56+AB59</f>
        <v>-19.025189882999992</v>
      </c>
      <c r="AC61" s="796" t="str">
        <f t="shared" ca="1" si="31"/>
        <v>N/A</v>
      </c>
      <c r="AD61" s="793">
        <f ca="1">I61+O61+U61+AA61</f>
        <v>-216.12245953200002</v>
      </c>
      <c r="AE61" s="803">
        <f t="shared" ref="AE61" ca="1" si="94">SUMIF($I$4:$AD$4,"x",I61:AB61)</f>
        <v>-50.674419883000006</v>
      </c>
      <c r="AF61" s="803">
        <f t="shared" ref="AF61" ca="1" si="95">SUM(J61,P61,V61,AB61)</f>
        <v>-169.32245953200001</v>
      </c>
      <c r="AG61" s="403"/>
      <c r="AH61" s="793">
        <f ca="1">AH56+AH59</f>
        <v>-52.930783765999983</v>
      </c>
      <c r="AI61" s="793">
        <f t="shared" ref="AI61:AL61" ca="1" si="96">AI56+AI59</f>
        <v>-29.087263765999989</v>
      </c>
      <c r="AJ61" s="793">
        <f t="shared" ca="1" si="96"/>
        <v>-26.71738376599999</v>
      </c>
      <c r="AK61" s="793">
        <f t="shared" ca="1" si="96"/>
        <v>-27.919767765999993</v>
      </c>
      <c r="AL61" s="793">
        <f t="shared" ca="1" si="96"/>
        <v>-136.65519906399999</v>
      </c>
      <c r="AM61" s="403"/>
      <c r="AN61" s="793">
        <f ca="1">AN56+AN59</f>
        <v>-42.441768414999991</v>
      </c>
      <c r="AO61" s="793">
        <f t="shared" ref="AO61:AR61" ca="1" si="97">AO56+AO59</f>
        <v>2.5668115849999884</v>
      </c>
      <c r="AP61" s="793">
        <f t="shared" ca="1" si="97"/>
        <v>3.1312315849999943</v>
      </c>
      <c r="AQ61" s="793">
        <f t="shared" ca="1" si="97"/>
        <v>-0.368812415000001</v>
      </c>
      <c r="AR61" s="793">
        <f t="shared" ca="1" si="97"/>
        <v>-37.112537659999994</v>
      </c>
      <c r="AS61" s="585"/>
      <c r="AT61" s="428"/>
      <c r="AU61" s="428"/>
      <c r="AV61" s="428"/>
    </row>
    <row r="62" spans="2:48" s="408" customFormat="1" ht="13" customHeight="1">
      <c r="B62" s="407"/>
      <c r="C62" s="397" t="s">
        <v>273</v>
      </c>
      <c r="D62" s="397" t="s">
        <v>268</v>
      </c>
      <c r="E62" s="374"/>
      <c r="F62" s="501"/>
      <c r="G62" s="501"/>
      <c r="H62" s="501"/>
      <c r="I62" s="416"/>
      <c r="J62" s="728"/>
      <c r="K62" s="589"/>
      <c r="L62" s="501"/>
      <c r="M62" s="501"/>
      <c r="N62" s="501"/>
      <c r="O62" s="416"/>
      <c r="P62" s="728"/>
      <c r="Q62" s="589"/>
      <c r="R62" s="501"/>
      <c r="S62" s="501"/>
      <c r="T62" s="501"/>
      <c r="U62" s="416"/>
      <c r="V62" s="728"/>
      <c r="W62" s="589"/>
      <c r="X62" s="501"/>
      <c r="Y62" s="501"/>
      <c r="Z62" s="501"/>
      <c r="AA62" s="416"/>
      <c r="AB62" s="728"/>
      <c r="AC62" s="603"/>
      <c r="AD62" s="1314">
        <f ca="1">IF(AD61&gt;Parameter!$D$20/1000,(AD61-Parameter!$D$20/1000)*Parameter!$D$18*Parameter!$D$19,0)</f>
        <v>0</v>
      </c>
      <c r="AE62" s="1319">
        <f ca="1">IF(AE61&gt;Parameter!$D$21/1000,(AE61-Parameter!$D$21/1000)*Parameter!$D$18*Parameter!$D$19,0)</f>
        <v>0</v>
      </c>
      <c r="AF62" s="1317">
        <f ca="1">IF(AF61&gt;Parameter!$D$21/1000,(AF61-Parameter!$D$21/1000)*Parameter!$D$18*Parameter!$D$19,0)</f>
        <v>0</v>
      </c>
      <c r="AG62" s="502"/>
      <c r="AH62" s="501"/>
      <c r="AI62" s="501"/>
      <c r="AJ62" s="501"/>
      <c r="AK62" s="501"/>
      <c r="AL62" s="501">
        <f ca="1">IF(AL61&gt;Exemption/1000,(AL61-Exemption/1000)*Leverage_Trade_Tax*Trade_Tax_Rate,0)</f>
        <v>0</v>
      </c>
      <c r="AM62" s="502"/>
      <c r="AN62" s="501"/>
      <c r="AO62" s="501"/>
      <c r="AP62" s="501"/>
      <c r="AQ62" s="501"/>
      <c r="AR62" s="501">
        <f ca="1">IF(AR61&gt;Exemption/1000,(AR61-Exemption/1000)*Leverage_Trade_Tax*Trade_Tax_Rate,0)</f>
        <v>0</v>
      </c>
      <c r="AS62" s="585"/>
      <c r="AT62" s="428"/>
      <c r="AU62" s="428"/>
      <c r="AV62" s="428"/>
    </row>
    <row r="63" spans="2:48" s="408" customFormat="1">
      <c r="B63" s="407"/>
      <c r="C63" s="397" t="s">
        <v>272</v>
      </c>
      <c r="D63" s="397" t="s">
        <v>269</v>
      </c>
      <c r="E63" s="374"/>
      <c r="F63" s="398"/>
      <c r="G63" s="398"/>
      <c r="H63" s="398"/>
      <c r="I63" s="399"/>
      <c r="J63" s="724"/>
      <c r="K63" s="576"/>
      <c r="L63" s="398"/>
      <c r="M63" s="398"/>
      <c r="N63" s="398"/>
      <c r="O63" s="399"/>
      <c r="P63" s="724"/>
      <c r="Q63" s="576"/>
      <c r="R63" s="398"/>
      <c r="S63" s="398"/>
      <c r="T63" s="398"/>
      <c r="U63" s="399"/>
      <c r="V63" s="724"/>
      <c r="W63" s="576"/>
      <c r="X63" s="398"/>
      <c r="Y63" s="398"/>
      <c r="Z63" s="398"/>
      <c r="AA63" s="399"/>
      <c r="AB63" s="724"/>
      <c r="AC63" s="604"/>
      <c r="AD63" s="1315">
        <f ca="1">IF(AD61&gt;0,AD61*Parameter!$D$17,0)</f>
        <v>0</v>
      </c>
      <c r="AE63" s="1320">
        <f ca="1">IF(AE61&gt;0,AE61*Parameter!$D$17,0)</f>
        <v>0</v>
      </c>
      <c r="AF63" s="633">
        <f ca="1">IF(AF61&gt;0,AF61*Parameter!$D$17,0)</f>
        <v>0</v>
      </c>
      <c r="AG63" s="502"/>
      <c r="AH63" s="398"/>
      <c r="AI63" s="398"/>
      <c r="AJ63" s="398"/>
      <c r="AK63" s="398"/>
      <c r="AL63" s="398">
        <f ca="1">IF(AL61&gt;0,AL61*Corporate_Tax_Rate,0)</f>
        <v>0</v>
      </c>
      <c r="AM63" s="502"/>
      <c r="AN63" s="398"/>
      <c r="AO63" s="398"/>
      <c r="AP63" s="398"/>
      <c r="AQ63" s="398"/>
      <c r="AR63" s="398">
        <f ca="1">IF(AR61&gt;0,AR61*Corporate_Tax_Rate,0)</f>
        <v>0</v>
      </c>
      <c r="AS63" s="585"/>
      <c r="AT63" s="428"/>
      <c r="AU63" s="428"/>
      <c r="AV63" s="428"/>
    </row>
    <row r="64" spans="2:48" s="408" customFormat="1">
      <c r="B64" s="407"/>
      <c r="C64" s="397" t="s">
        <v>271</v>
      </c>
      <c r="D64" s="397" t="s">
        <v>270</v>
      </c>
      <c r="E64" s="374"/>
      <c r="F64" s="406"/>
      <c r="G64" s="406"/>
      <c r="H64" s="406"/>
      <c r="I64" s="423"/>
      <c r="J64" s="724"/>
      <c r="K64" s="576"/>
      <c r="L64" s="406"/>
      <c r="M64" s="406"/>
      <c r="N64" s="406"/>
      <c r="O64" s="423"/>
      <c r="P64" s="724"/>
      <c r="Q64" s="576"/>
      <c r="R64" s="406"/>
      <c r="S64" s="406"/>
      <c r="T64" s="406"/>
      <c r="U64" s="423"/>
      <c r="V64" s="724"/>
      <c r="W64" s="576"/>
      <c r="X64" s="406"/>
      <c r="Y64" s="406"/>
      <c r="Z64" s="406"/>
      <c r="AA64" s="423"/>
      <c r="AB64" s="724"/>
      <c r="AC64" s="605"/>
      <c r="AD64" s="1316">
        <f ca="1">AD63*Parameter!$D$16</f>
        <v>0</v>
      </c>
      <c r="AE64" s="1320">
        <f ca="1">AE63*5.5%</f>
        <v>0</v>
      </c>
      <c r="AF64" s="1318">
        <f ca="1">AF63*5.5%</f>
        <v>0</v>
      </c>
      <c r="AG64" s="502"/>
      <c r="AH64" s="406"/>
      <c r="AI64" s="406"/>
      <c r="AJ64" s="406"/>
      <c r="AK64" s="406"/>
      <c r="AL64" s="406">
        <f ca="1">AL63*Solidarity_Tax_Rate</f>
        <v>0</v>
      </c>
      <c r="AM64" s="502"/>
      <c r="AN64" s="406"/>
      <c r="AO64" s="406"/>
      <c r="AP64" s="406"/>
      <c r="AQ64" s="406"/>
      <c r="AR64" s="406">
        <f ca="1">AR63*Solidarity_Tax_Rate</f>
        <v>0</v>
      </c>
      <c r="AS64" s="585"/>
      <c r="AT64" s="428"/>
      <c r="AU64" s="428"/>
      <c r="AV64" s="428"/>
    </row>
    <row r="65" spans="2:48" s="408" customFormat="1" ht="18" customHeight="1">
      <c r="B65" s="407"/>
      <c r="C65" s="759" t="s">
        <v>238</v>
      </c>
      <c r="D65" s="759" t="s">
        <v>239</v>
      </c>
      <c r="E65" s="374"/>
      <c r="F65" s="806">
        <f ca="1">F61-F63-F62</f>
        <v>-27.612671627666668</v>
      </c>
      <c r="G65" s="806">
        <f ca="1">G61-G63-G62</f>
        <v>-20.380558294333333</v>
      </c>
      <c r="H65" s="806">
        <f ca="1">H61-H63-H62</f>
        <v>-18.531204961</v>
      </c>
      <c r="I65" s="806">
        <f ca="1">I61-I63-I62</f>
        <v>-66.524434883000012</v>
      </c>
      <c r="J65" s="806">
        <f ca="1">J61-J63-J62</f>
        <v>-50.674419883000006</v>
      </c>
      <c r="K65" s="807">
        <f t="shared" ca="1" si="36"/>
        <v>0.76174145593455622</v>
      </c>
      <c r="L65" s="806">
        <f ca="1">L61-L63-L62</f>
        <v>-17.961651627666665</v>
      </c>
      <c r="M65" s="806">
        <f ca="1">M61-M63-M62</f>
        <v>-18.966278294333328</v>
      </c>
      <c r="N65" s="806">
        <f ca="1">N61-N63-N62</f>
        <v>-13.302104960999998</v>
      </c>
      <c r="O65" s="806">
        <f ca="1">O61-O63-O62</f>
        <v>-50.230034883000002</v>
      </c>
      <c r="P65" s="806">
        <f ca="1">P61-P63-P62</f>
        <v>-50.230034883000002</v>
      </c>
      <c r="Q65" s="807" t="str">
        <f ca="1">IF(O65 &gt; 0, P65/O65*100%, "N/A")</f>
        <v>N/A</v>
      </c>
      <c r="R65" s="806">
        <f ca="1">R61-R63-R62</f>
        <v>-18.262271627666664</v>
      </c>
      <c r="S65" s="806">
        <f ca="1">S61-S63-S62</f>
        <v>-17.916898294333333</v>
      </c>
      <c r="T65" s="806">
        <f ca="1">T61-T63-T62</f>
        <v>-13.213644960999998</v>
      </c>
      <c r="U65" s="806">
        <f ca="1">U61-U63-U62</f>
        <v>-49.392814883</v>
      </c>
      <c r="V65" s="806">
        <f ca="1">V61-V63-V62</f>
        <v>-49.392814883</v>
      </c>
      <c r="W65" s="807" t="str">
        <f ca="1">IF(U65 &gt; 0, V65/U65*100%, "N/A")</f>
        <v>N/A</v>
      </c>
      <c r="X65" s="806">
        <f ca="1">X61-X63-X62</f>
        <v>-17.074591627666663</v>
      </c>
      <c r="Y65" s="806">
        <f ca="1">Y61-Y63-Y62</f>
        <v>-17.569858294333333</v>
      </c>
      <c r="Z65" s="806">
        <f ca="1">Z61-Z63-Z62</f>
        <v>-15.330724960999998</v>
      </c>
      <c r="AA65" s="806">
        <f ca="1">AA61-AA63-AA62</f>
        <v>-49.975174883000001</v>
      </c>
      <c r="AB65" s="806">
        <f ca="1">AB61-AB63-AB62</f>
        <v>-19.025189882999992</v>
      </c>
      <c r="AC65" s="807" t="str">
        <f ca="1">IF(AA65 &gt; 0, AB65/AA65*100%, "N/A")</f>
        <v>N/A</v>
      </c>
      <c r="AD65" s="806">
        <f ca="1">AD61-SUM(AD62:AD64)</f>
        <v>-216.12245953200002</v>
      </c>
      <c r="AE65" s="803">
        <f t="shared" ref="AE65" ca="1" si="98">SUMIF($I$4:$AD$4,"x",I65:AB65)</f>
        <v>-50.674419883000006</v>
      </c>
      <c r="AF65" s="806">
        <f ca="1">AF61-SUM(AF62:AF64)</f>
        <v>-169.32245953200001</v>
      </c>
      <c r="AG65" s="502"/>
      <c r="AH65" s="806">
        <f ca="1">AH61-AH63-AH62-AH64</f>
        <v>-52.930783765999983</v>
      </c>
      <c r="AI65" s="806">
        <f t="shared" ref="AI65:AL65" ca="1" si="99">AI61-AI63-AI62-AI64</f>
        <v>-29.087263765999989</v>
      </c>
      <c r="AJ65" s="806">
        <f t="shared" ca="1" si="99"/>
        <v>-26.71738376599999</v>
      </c>
      <c r="AK65" s="806">
        <f t="shared" ca="1" si="99"/>
        <v>-27.919767765999993</v>
      </c>
      <c r="AL65" s="806">
        <f t="shared" ca="1" si="99"/>
        <v>-136.65519906399999</v>
      </c>
      <c r="AM65" s="502"/>
      <c r="AN65" s="806">
        <f ca="1">AN61-AN63-AN62-AN64</f>
        <v>-42.441768414999991</v>
      </c>
      <c r="AO65" s="806">
        <f t="shared" ref="AO65" ca="1" si="100">AO61-AO63-AO62-AO64</f>
        <v>2.5668115849999884</v>
      </c>
      <c r="AP65" s="806">
        <f t="shared" ref="AP65" ca="1" si="101">AP61-AP63-AP62-AP64</f>
        <v>3.1312315849999943</v>
      </c>
      <c r="AQ65" s="806">
        <f t="shared" ref="AQ65" ca="1" si="102">AQ61-AQ63-AQ62-AQ64</f>
        <v>-0.368812415000001</v>
      </c>
      <c r="AR65" s="806">
        <f t="shared" ref="AR65" ca="1" si="103">AR61-AR63-AR62-AR64</f>
        <v>-37.112537659999994</v>
      </c>
      <c r="AS65" s="585"/>
      <c r="AT65" s="428"/>
      <c r="AU65" s="428"/>
      <c r="AV65" s="428"/>
    </row>
    <row r="66" spans="2:48">
      <c r="B66" s="437"/>
      <c r="C66" s="438"/>
      <c r="D66" s="438"/>
      <c r="E66" s="438"/>
      <c r="F66" s="439"/>
      <c r="G66" s="439"/>
      <c r="H66" s="439"/>
      <c r="I66" s="439"/>
      <c r="J66" s="439"/>
      <c r="K66" s="440"/>
      <c r="L66" s="439"/>
      <c r="M66" s="439"/>
      <c r="N66" s="439"/>
      <c r="O66" s="439"/>
      <c r="P66" s="439"/>
      <c r="Q66" s="440"/>
      <c r="R66" s="439"/>
      <c r="S66" s="439"/>
      <c r="T66" s="439"/>
      <c r="U66" s="439"/>
      <c r="V66" s="439"/>
      <c r="W66" s="440"/>
      <c r="X66" s="439"/>
      <c r="Y66" s="439"/>
      <c r="Z66" s="439"/>
      <c r="AA66" s="439"/>
      <c r="AB66" s="439"/>
      <c r="AC66" s="440"/>
      <c r="AD66" s="439"/>
      <c r="AE66" s="439"/>
      <c r="AF66" s="439"/>
      <c r="AG66" s="439"/>
      <c r="AH66" s="439"/>
      <c r="AI66" s="439"/>
      <c r="AJ66" s="439"/>
      <c r="AK66" s="439"/>
      <c r="AL66" s="439"/>
      <c r="AM66" s="439"/>
      <c r="AN66" s="439"/>
      <c r="AO66" s="439"/>
      <c r="AP66" s="439"/>
      <c r="AQ66" s="439"/>
      <c r="AR66" s="439"/>
      <c r="AS66" s="441"/>
    </row>
    <row r="67" spans="2:48">
      <c r="E67" s="442"/>
    </row>
    <row r="68" spans="2:48" ht="13">
      <c r="D68" s="1303" t="s">
        <v>484</v>
      </c>
    </row>
    <row r="69" spans="2:48" ht="13">
      <c r="C69" s="792" t="s">
        <v>299</v>
      </c>
      <c r="D69" s="1304" t="s">
        <v>577</v>
      </c>
    </row>
    <row r="70" spans="2:48">
      <c r="D70" s="1304" t="s">
        <v>578</v>
      </c>
    </row>
    <row r="71" spans="2:48" ht="78">
      <c r="C71" s="374" t="s">
        <v>300</v>
      </c>
    </row>
    <row r="73" spans="2:48" ht="39">
      <c r="C73" s="374" t="s">
        <v>301</v>
      </c>
    </row>
    <row r="75" spans="2:48" ht="26">
      <c r="C75" s="374" t="s">
        <v>302</v>
      </c>
    </row>
  </sheetData>
  <mergeCells count="4">
    <mergeCell ref="N3:O3"/>
    <mergeCell ref="AH5:AL5"/>
    <mergeCell ref="F5:AD5"/>
    <mergeCell ref="AN5:AR5"/>
  </mergeCells>
  <printOptions horizontalCentered="1"/>
  <pageMargins left="0.2" right="0.2" top="0.2" bottom="0.35000000000000003" header="0.2" footer="0.2"/>
  <pageSetup paperSize="9" scale="91" orientation="landscape" horizontalDpi="4294967292" verticalDpi="4294967292"/>
  <headerFooter>
    <oddFooter>&amp;L&amp;"Arial,Standard"Business Case&amp;C&amp;"Arial,Standard"&amp;F&amp;R&amp;"Arial,Standard"&amp;D Seite &amp;P von &amp;N</oddFooter>
  </headerFooter>
  <ignoredErrors>
    <ignoredError sqref="O29 K29 U29 AA29 K32 U32 AA32 O32 O40 I29 I32 AH3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BA55"/>
  <sheetViews>
    <sheetView showGridLines="0" zoomScaleSheetLayoutView="100" workbookViewId="0">
      <selection activeCell="E3" sqref="E3"/>
    </sheetView>
  </sheetViews>
  <sheetFormatPr baseColWidth="10" defaultColWidth="11.796875" defaultRowHeight="14"/>
  <cols>
    <col min="1" max="1" width="2.19921875" style="5" customWidth="1"/>
    <col min="2" max="2" width="1.796875" style="5" customWidth="1"/>
    <col min="3" max="3" width="37" style="7" hidden="1" customWidth="1"/>
    <col min="4" max="4" width="0.796875" style="7" customWidth="1"/>
    <col min="5" max="5" width="37" style="7" customWidth="1"/>
    <col min="6" max="6" width="1.19921875" style="5" customWidth="1"/>
    <col min="7" max="7" width="4.796875" style="5" customWidth="1"/>
    <col min="8" max="8" width="5.796875" style="5" customWidth="1"/>
    <col min="9" max="9" width="4.796875" style="5" customWidth="1"/>
    <col min="10" max="11" width="8.796875" style="5" customWidth="1"/>
    <col min="12" max="12" width="9.796875" style="143" customWidth="1"/>
    <col min="13" max="14" width="4.796875" style="5" customWidth="1"/>
    <col min="15" max="15" width="5.796875" style="5" customWidth="1"/>
    <col min="16" max="17" width="8.796875" style="5" customWidth="1"/>
    <col min="18" max="18" width="9.796875" style="143" customWidth="1"/>
    <col min="19" max="19" width="8.796875" style="5" customWidth="1"/>
    <col min="20" max="20" width="8.796875" style="72" customWidth="1"/>
    <col min="21" max="21" width="9.796875" style="143" customWidth="1"/>
    <col min="22" max="24" width="4.796875" style="5" customWidth="1"/>
    <col min="25" max="25" width="8.796875" style="5" customWidth="1"/>
    <col min="26" max="28" width="4.796875" style="5" customWidth="1"/>
    <col min="29" max="30" width="8.796875" style="5" customWidth="1"/>
    <col min="31" max="31" width="1.19921875" style="5" customWidth="1"/>
    <col min="32" max="32" width="2" style="5" customWidth="1"/>
    <col min="33" max="33" width="3.796875" style="5" customWidth="1"/>
    <col min="34" max="16384" width="11.796875" style="5"/>
  </cols>
  <sheetData>
    <row r="2" spans="2:36" s="140" customFormat="1" ht="18.75" customHeight="1">
      <c r="B2" s="181"/>
      <c r="C2" s="182"/>
      <c r="D2" s="182"/>
      <c r="E2" s="183"/>
      <c r="F2" s="182"/>
      <c r="G2" s="182"/>
      <c r="H2" s="182"/>
      <c r="I2" s="182"/>
      <c r="J2" s="182"/>
      <c r="K2" s="182"/>
      <c r="L2" s="184"/>
      <c r="M2" s="182"/>
      <c r="N2" s="182"/>
      <c r="O2" s="182"/>
      <c r="P2" s="182"/>
      <c r="Q2" s="182"/>
      <c r="R2" s="184"/>
      <c r="S2" s="182"/>
      <c r="T2" s="185"/>
      <c r="U2" s="184"/>
      <c r="V2" s="182"/>
      <c r="W2" s="182"/>
      <c r="X2" s="182"/>
      <c r="Y2" s="182"/>
      <c r="Z2" s="182"/>
      <c r="AA2" s="182"/>
      <c r="AB2" s="182"/>
      <c r="AC2" s="182"/>
      <c r="AD2" s="182"/>
      <c r="AE2" s="182"/>
      <c r="AF2" s="186"/>
    </row>
    <row r="3" spans="2:36">
      <c r="B3" s="6"/>
      <c r="C3" s="132" t="str">
        <f>+Parameter!D4&amp;", "&amp;Parameter!D15</f>
        <v>company name, Location</v>
      </c>
      <c r="E3" s="132" t="s">
        <v>137</v>
      </c>
      <c r="I3" s="84"/>
      <c r="J3" s="84"/>
      <c r="K3" s="8"/>
      <c r="L3" s="141" t="s">
        <v>138</v>
      </c>
      <c r="M3" s="9"/>
      <c r="N3" s="4" t="s">
        <v>28</v>
      </c>
      <c r="O3" s="1236">
        <f>Parameter!D23</f>
        <v>1000</v>
      </c>
      <c r="P3" s="1223"/>
      <c r="Q3" s="1223"/>
      <c r="R3" s="1223"/>
      <c r="S3" s="1223"/>
      <c r="T3" s="1223"/>
      <c r="U3" s="1223"/>
      <c r="V3" s="1224"/>
      <c r="W3" s="3"/>
      <c r="X3" s="3"/>
      <c r="Y3" s="142"/>
      <c r="Z3" s="3"/>
      <c r="AA3" s="3"/>
      <c r="AB3" s="3"/>
      <c r="AC3" s="3"/>
      <c r="AD3" s="3"/>
      <c r="AF3" s="11"/>
    </row>
    <row r="4" spans="2:36" ht="14" customHeight="1">
      <c r="B4" s="6"/>
      <c r="C4" s="12"/>
      <c r="D4" s="13"/>
      <c r="E4" s="12"/>
      <c r="AF4" s="11"/>
    </row>
    <row r="5" spans="2:36" s="138" customFormat="1">
      <c r="B5" s="133"/>
      <c r="C5" s="134"/>
      <c r="D5" s="135"/>
      <c r="E5" s="187"/>
      <c r="F5" s="187"/>
      <c r="G5" s="187"/>
      <c r="H5" s="187"/>
      <c r="I5" s="187"/>
      <c r="J5" s="187"/>
      <c r="K5" s="187"/>
      <c r="L5" s="188"/>
      <c r="M5" s="187"/>
      <c r="N5" s="187"/>
      <c r="O5" s="187"/>
      <c r="P5" s="187"/>
      <c r="Q5" s="187"/>
      <c r="R5" s="188"/>
      <c r="S5" s="187"/>
      <c r="T5" s="189"/>
      <c r="U5" s="188"/>
      <c r="V5" s="187"/>
      <c r="W5" s="187"/>
      <c r="X5" s="187"/>
      <c r="Y5" s="187"/>
      <c r="Z5" s="187"/>
      <c r="AA5" s="187"/>
      <c r="AB5" s="190"/>
      <c r="AC5" s="187"/>
      <c r="AD5" s="187"/>
      <c r="AE5" s="191"/>
      <c r="AF5" s="137"/>
    </row>
    <row r="6" spans="2:36" s="138" customFormat="1" ht="76" thickBot="1">
      <c r="B6" s="133"/>
      <c r="C6" s="139"/>
      <c r="D6" s="135"/>
      <c r="E6" s="192" t="s">
        <v>165</v>
      </c>
      <c r="F6" s="135"/>
      <c r="G6" s="1" t="s">
        <v>4</v>
      </c>
      <c r="H6" s="1" t="s">
        <v>5</v>
      </c>
      <c r="I6" s="1" t="s">
        <v>48</v>
      </c>
      <c r="J6" s="1" t="s">
        <v>97</v>
      </c>
      <c r="K6" s="1" t="s">
        <v>96</v>
      </c>
      <c r="L6" s="144" t="s">
        <v>98</v>
      </c>
      <c r="M6" s="1" t="s">
        <v>7</v>
      </c>
      <c r="N6" s="1" t="s">
        <v>49</v>
      </c>
      <c r="O6" s="1" t="s">
        <v>9</v>
      </c>
      <c r="P6" s="1" t="s">
        <v>99</v>
      </c>
      <c r="Q6" s="1" t="s">
        <v>156</v>
      </c>
      <c r="R6" s="144" t="s">
        <v>157</v>
      </c>
      <c r="S6" s="1" t="s">
        <v>158</v>
      </c>
      <c r="T6" s="145" t="s">
        <v>159</v>
      </c>
      <c r="U6" s="144" t="s">
        <v>160</v>
      </c>
      <c r="V6" s="1" t="s">
        <v>10</v>
      </c>
      <c r="W6" s="1" t="s">
        <v>11</v>
      </c>
      <c r="X6" s="1" t="s">
        <v>12</v>
      </c>
      <c r="Y6" s="1" t="s">
        <v>100</v>
      </c>
      <c r="Z6" s="1" t="s">
        <v>50</v>
      </c>
      <c r="AA6" s="1" t="s">
        <v>2</v>
      </c>
      <c r="AB6" s="14" t="s">
        <v>51</v>
      </c>
      <c r="AC6" s="1" t="s">
        <v>101</v>
      </c>
      <c r="AD6" s="1" t="s">
        <v>161</v>
      </c>
      <c r="AE6" s="191"/>
      <c r="AF6" s="137"/>
    </row>
    <row r="7" spans="2:36" ht="14" customHeight="1">
      <c r="B7" s="6"/>
      <c r="C7" s="146" t="s">
        <v>46</v>
      </c>
      <c r="D7" s="24"/>
      <c r="E7" s="19" t="s">
        <v>102</v>
      </c>
      <c r="F7" s="20"/>
      <c r="G7" s="21" t="e">
        <f>+#REF!</f>
        <v>#REF!</v>
      </c>
      <c r="H7" s="21" t="e">
        <f>+#REF!</f>
        <v>#REF!</v>
      </c>
      <c r="I7" s="21" t="e">
        <f>+#REF!</f>
        <v>#REF!</v>
      </c>
      <c r="J7" s="21" t="e">
        <f>SUM(G7:I7)</f>
        <v>#REF!</v>
      </c>
      <c r="K7" s="21"/>
      <c r="L7" s="147"/>
      <c r="M7" s="21" t="e">
        <f>+#REF!</f>
        <v>#REF!</v>
      </c>
      <c r="N7" s="21" t="e">
        <f>+#REF!</f>
        <v>#REF!</v>
      </c>
      <c r="O7" s="21" t="e">
        <f>+#REF!</f>
        <v>#REF!</v>
      </c>
      <c r="P7" s="21" t="e">
        <f>SUM(M7:O7)</f>
        <v>#REF!</v>
      </c>
      <c r="Q7" s="21">
        <v>0</v>
      </c>
      <c r="R7" s="147"/>
      <c r="S7" s="21" t="e">
        <f>+P7+J7</f>
        <v>#REF!</v>
      </c>
      <c r="T7" s="21">
        <f>+Q7+K7</f>
        <v>0</v>
      </c>
      <c r="U7" s="147"/>
      <c r="V7" s="21" t="e">
        <f>+#REF!</f>
        <v>#REF!</v>
      </c>
      <c r="W7" s="21" t="e">
        <f>+#REF!</f>
        <v>#REF!</v>
      </c>
      <c r="X7" s="21" t="e">
        <f>+#REF!</f>
        <v>#REF!</v>
      </c>
      <c r="Y7" s="21" t="e">
        <f>SUM(V7:X7)</f>
        <v>#REF!</v>
      </c>
      <c r="Z7" s="21" t="e">
        <f>+#REF!</f>
        <v>#REF!</v>
      </c>
      <c r="AA7" s="21" t="e">
        <f>+#REF!</f>
        <v>#REF!</v>
      </c>
      <c r="AB7" s="22" t="e">
        <f>+#REF!</f>
        <v>#REF!</v>
      </c>
      <c r="AC7" s="21" t="e">
        <f>SUM(Z7:AB7)</f>
        <v>#REF!</v>
      </c>
      <c r="AD7" s="21" t="e">
        <f>+T7+Y7+AC7</f>
        <v>#REF!</v>
      </c>
      <c r="AE7" s="13"/>
      <c r="AF7" s="25"/>
    </row>
    <row r="8" spans="2:36" ht="12" customHeight="1">
      <c r="B8" s="6"/>
      <c r="C8" s="148"/>
      <c r="D8" s="31"/>
      <c r="E8" s="26"/>
      <c r="F8" s="27"/>
      <c r="G8" s="28"/>
      <c r="H8" s="28"/>
      <c r="I8" s="28"/>
      <c r="J8" s="28"/>
      <c r="K8" s="28"/>
      <c r="L8" s="149"/>
      <c r="M8" s="28"/>
      <c r="N8" s="28"/>
      <c r="O8" s="28"/>
      <c r="P8" s="28"/>
      <c r="Q8" s="28"/>
      <c r="R8" s="149"/>
      <c r="S8" s="28"/>
      <c r="T8" s="32">
        <f>+Q8+K8</f>
        <v>0</v>
      </c>
      <c r="U8" s="149"/>
      <c r="V8" s="28"/>
      <c r="W8" s="28"/>
      <c r="X8" s="28"/>
      <c r="Y8" s="28"/>
      <c r="Z8" s="28"/>
      <c r="AA8" s="28"/>
      <c r="AB8" s="29"/>
      <c r="AC8" s="28"/>
      <c r="AD8" s="28">
        <f>+T8+Y8+AC8</f>
        <v>0</v>
      </c>
      <c r="AE8" s="7"/>
      <c r="AF8" s="11"/>
    </row>
    <row r="9" spans="2:36" ht="15">
      <c r="B9" s="6"/>
      <c r="C9" s="148" t="s">
        <v>52</v>
      </c>
      <c r="D9" s="24"/>
      <c r="E9" s="26" t="s">
        <v>103</v>
      </c>
      <c r="F9" s="20"/>
      <c r="G9" s="32" t="e">
        <f>Parameter!$D$22*'P+L Quarter 2016'!G7*-1</f>
        <v>#REF!</v>
      </c>
      <c r="H9" s="32" t="e">
        <f>Parameter!$D$22*'P+L Quarter 2016'!H7*-1</f>
        <v>#REF!</v>
      </c>
      <c r="I9" s="32" t="e">
        <f>Parameter!$D$22*'P+L Quarter 2016'!I7*-1</f>
        <v>#REF!</v>
      </c>
      <c r="J9" s="32" t="e">
        <f>SUM(G9:I9)</f>
        <v>#REF!</v>
      </c>
      <c r="K9" s="32">
        <v>0</v>
      </c>
      <c r="L9" s="149"/>
      <c r="M9" s="32" t="e">
        <f>Parameter!$D$22*'P+L Quarter 2016'!M7*-1</f>
        <v>#REF!</v>
      </c>
      <c r="N9" s="32" t="e">
        <f>Parameter!$D$22*'P+L Quarter 2016'!N7*-1</f>
        <v>#REF!</v>
      </c>
      <c r="O9" s="32" t="e">
        <f>Parameter!$D$22*'P+L Quarter 2016'!O7*-1</f>
        <v>#REF!</v>
      </c>
      <c r="P9" s="32" t="e">
        <f>SUM(M9:O9)</f>
        <v>#REF!</v>
      </c>
      <c r="Q9" s="32">
        <v>0</v>
      </c>
      <c r="R9" s="149"/>
      <c r="S9" s="32" t="e">
        <f>+P9+J9</f>
        <v>#REF!</v>
      </c>
      <c r="T9" s="32">
        <f>+Q9+K9</f>
        <v>0</v>
      </c>
      <c r="U9" s="149"/>
      <c r="V9" s="32" t="e">
        <f>Parameter!$D$22*'P+L Quarter 2016'!V7*-1</f>
        <v>#REF!</v>
      </c>
      <c r="W9" s="32" t="e">
        <f>Parameter!$D$22*'P+L Quarter 2016'!W7*-1</f>
        <v>#REF!</v>
      </c>
      <c r="X9" s="32" t="e">
        <f>Parameter!$D$22*'P+L Quarter 2016'!X7*-1</f>
        <v>#REF!</v>
      </c>
      <c r="Y9" s="32" t="e">
        <f>SUM(V9:X9)</f>
        <v>#REF!</v>
      </c>
      <c r="Z9" s="32" t="e">
        <f>Parameter!$D$22*'P+L Quarter 2016'!Z7*-1</f>
        <v>#REF!</v>
      </c>
      <c r="AA9" s="32" t="e">
        <f>Parameter!$D$22*'P+L Quarter 2016'!AA7*-1</f>
        <v>#REF!</v>
      </c>
      <c r="AB9" s="33" t="e">
        <f>Parameter!$D$22*'P+L Quarter 2016'!AB7*-1</f>
        <v>#REF!</v>
      </c>
      <c r="AC9" s="32" t="e">
        <f>SUM(Z9:AB9)</f>
        <v>#REF!</v>
      </c>
      <c r="AD9" s="32" t="e">
        <f>+T9+Y9+AC9</f>
        <v>#REF!</v>
      </c>
      <c r="AE9" s="150"/>
      <c r="AF9" s="36"/>
    </row>
    <row r="10" spans="2:36" ht="11" customHeight="1">
      <c r="B10" s="6"/>
      <c r="C10" s="151"/>
      <c r="D10" s="31"/>
      <c r="E10" s="37"/>
      <c r="F10" s="27"/>
      <c r="G10" s="38"/>
      <c r="H10" s="38"/>
      <c r="I10" s="38"/>
      <c r="J10" s="38"/>
      <c r="K10" s="38"/>
      <c r="L10" s="152"/>
      <c r="M10" s="38"/>
      <c r="N10" s="38"/>
      <c r="O10" s="38"/>
      <c r="P10" s="38"/>
      <c r="Q10" s="38"/>
      <c r="R10" s="152"/>
      <c r="S10" s="38"/>
      <c r="T10" s="32">
        <f>+Q10+K10</f>
        <v>0</v>
      </c>
      <c r="U10" s="152"/>
      <c r="V10" s="38"/>
      <c r="W10" s="38"/>
      <c r="X10" s="38"/>
      <c r="Y10" s="38"/>
      <c r="Z10" s="38"/>
      <c r="AA10" s="38"/>
      <c r="AB10" s="39"/>
      <c r="AC10" s="38"/>
      <c r="AD10" s="38"/>
      <c r="AE10" s="153"/>
      <c r="AF10" s="42"/>
    </row>
    <row r="11" spans="2:36" ht="15">
      <c r="B11" s="6"/>
      <c r="C11" s="154" t="s">
        <v>53</v>
      </c>
      <c r="D11" s="24"/>
      <c r="E11" s="43" t="s">
        <v>104</v>
      </c>
      <c r="F11" s="20"/>
      <c r="G11" s="44">
        <f>SUM(G12:G14)</f>
        <v>0</v>
      </c>
      <c r="H11" s="44">
        <f t="shared" ref="H11:AB11" si="0">SUM(H12:H14)</f>
        <v>0</v>
      </c>
      <c r="I11" s="44">
        <f t="shared" si="0"/>
        <v>0</v>
      </c>
      <c r="J11" s="44">
        <f>SUM(G11:I11)</f>
        <v>0</v>
      </c>
      <c r="K11" s="44">
        <f>SUM(K12:K14)</f>
        <v>0</v>
      </c>
      <c r="L11" s="155" t="e">
        <f>+(K11-J11)/J11</f>
        <v>#DIV/0!</v>
      </c>
      <c r="M11" s="44">
        <f t="shared" si="0"/>
        <v>0</v>
      </c>
      <c r="N11" s="44">
        <f t="shared" si="0"/>
        <v>0</v>
      </c>
      <c r="O11" s="44">
        <f t="shared" si="0"/>
        <v>0</v>
      </c>
      <c r="P11" s="44">
        <f>SUM(M11:O11)</f>
        <v>0</v>
      </c>
      <c r="Q11" s="44">
        <f>SUM(Q12:Q14)</f>
        <v>0</v>
      </c>
      <c r="R11" s="155" t="e">
        <f>+(Q11-P11)/P11</f>
        <v>#DIV/0!</v>
      </c>
      <c r="S11" s="44">
        <f>SUM(S12:S14)</f>
        <v>0</v>
      </c>
      <c r="T11" s="44">
        <f>SUM(T12:T14)</f>
        <v>0</v>
      </c>
      <c r="U11" s="155" t="e">
        <f>(T11-S11)/S11</f>
        <v>#DIV/0!</v>
      </c>
      <c r="V11" s="44">
        <f t="shared" si="0"/>
        <v>0</v>
      </c>
      <c r="W11" s="44">
        <f t="shared" si="0"/>
        <v>0</v>
      </c>
      <c r="X11" s="44">
        <f t="shared" si="0"/>
        <v>0</v>
      </c>
      <c r="Y11" s="44">
        <f>SUM(V11:X11)</f>
        <v>0</v>
      </c>
      <c r="Z11" s="44">
        <f t="shared" si="0"/>
        <v>0</v>
      </c>
      <c r="AA11" s="44">
        <f t="shared" si="0"/>
        <v>0</v>
      </c>
      <c r="AB11" s="45">
        <f t="shared" si="0"/>
        <v>0</v>
      </c>
      <c r="AC11" s="44">
        <f>SUM(Z11:AB11)</f>
        <v>0</v>
      </c>
      <c r="AD11" s="44">
        <f>SUM(AD12:AD14)</f>
        <v>0</v>
      </c>
      <c r="AE11" s="13"/>
      <c r="AF11" s="47"/>
      <c r="AJ11" s="143"/>
    </row>
    <row r="12" spans="2:36" ht="11" customHeight="1">
      <c r="B12" s="6"/>
      <c r="C12" s="156" t="s">
        <v>40</v>
      </c>
      <c r="D12" s="31"/>
      <c r="E12" s="48" t="s">
        <v>105</v>
      </c>
      <c r="F12" s="27"/>
      <c r="G12" s="28"/>
      <c r="H12" s="28"/>
      <c r="I12" s="28"/>
      <c r="J12" s="28"/>
      <c r="K12" s="28"/>
      <c r="L12" s="149"/>
      <c r="M12" s="28"/>
      <c r="N12" s="28"/>
      <c r="O12" s="28"/>
      <c r="P12" s="28"/>
      <c r="Q12" s="28"/>
      <c r="R12" s="149"/>
      <c r="S12" s="28"/>
      <c r="T12" s="32">
        <f>+Q12+K12</f>
        <v>0</v>
      </c>
      <c r="U12" s="149"/>
      <c r="V12" s="28"/>
      <c r="W12" s="28"/>
      <c r="X12" s="28"/>
      <c r="Y12" s="28"/>
      <c r="Z12" s="28"/>
      <c r="AA12" s="28"/>
      <c r="AB12" s="29"/>
      <c r="AC12" s="28"/>
      <c r="AD12" s="28">
        <f>+AC12+Y12+P12+K12</f>
        <v>0</v>
      </c>
      <c r="AE12" s="7"/>
      <c r="AF12" s="11"/>
    </row>
    <row r="13" spans="2:36" ht="12.75" customHeight="1">
      <c r="B13" s="6"/>
      <c r="C13" s="157" t="s">
        <v>39</v>
      </c>
      <c r="D13" s="31"/>
      <c r="E13" s="49" t="s">
        <v>106</v>
      </c>
      <c r="F13" s="27"/>
      <c r="G13" s="50"/>
      <c r="H13" s="50"/>
      <c r="I13" s="50"/>
      <c r="J13" s="50"/>
      <c r="K13" s="50"/>
      <c r="L13" s="149">
        <v>1</v>
      </c>
      <c r="M13" s="50"/>
      <c r="N13" s="50"/>
      <c r="O13" s="50"/>
      <c r="P13" s="50"/>
      <c r="Q13" s="50"/>
      <c r="R13" s="149">
        <v>1</v>
      </c>
      <c r="S13" s="50"/>
      <c r="T13" s="32">
        <f>+Q13+K13</f>
        <v>0</v>
      </c>
      <c r="U13" s="149"/>
      <c r="V13" s="50"/>
      <c r="W13" s="50"/>
      <c r="X13" s="50"/>
      <c r="Y13" s="50"/>
      <c r="Z13" s="50"/>
      <c r="AA13" s="50"/>
      <c r="AB13" s="51"/>
      <c r="AC13" s="50"/>
      <c r="AD13" s="32">
        <f>+T13+Y13+AC13</f>
        <v>0</v>
      </c>
      <c r="AE13" s="7"/>
      <c r="AF13" s="36"/>
    </row>
    <row r="14" spans="2:36" ht="11" customHeight="1">
      <c r="B14" s="6"/>
      <c r="C14" s="158" t="s">
        <v>38</v>
      </c>
      <c r="D14" s="31"/>
      <c r="E14" s="52" t="s">
        <v>107</v>
      </c>
      <c r="F14" s="27"/>
      <c r="G14" s="37"/>
      <c r="H14" s="37"/>
      <c r="I14" s="37"/>
      <c r="J14" s="37"/>
      <c r="K14" s="159"/>
      <c r="L14" s="152"/>
      <c r="M14" s="37"/>
      <c r="N14" s="37"/>
      <c r="O14" s="37"/>
      <c r="P14" s="37"/>
      <c r="Q14" s="159"/>
      <c r="R14" s="152"/>
      <c r="S14" s="37"/>
      <c r="T14" s="32">
        <f>+Q14+K14</f>
        <v>0</v>
      </c>
      <c r="U14" s="152"/>
      <c r="V14" s="37"/>
      <c r="W14" s="37"/>
      <c r="X14" s="37"/>
      <c r="Y14" s="37"/>
      <c r="Z14" s="37"/>
      <c r="AA14" s="37"/>
      <c r="AB14" s="53"/>
      <c r="AC14" s="37"/>
      <c r="AD14" s="37">
        <f>+AC14+Y14+P14+K14</f>
        <v>0</v>
      </c>
      <c r="AE14" s="7"/>
      <c r="AF14" s="42"/>
    </row>
    <row r="15" spans="2:36" s="60" customFormat="1" ht="15">
      <c r="B15" s="54"/>
      <c r="C15" s="55" t="s">
        <v>83</v>
      </c>
      <c r="D15" s="31"/>
      <c r="E15" s="55" t="s">
        <v>108</v>
      </c>
      <c r="F15" s="27"/>
      <c r="G15" s="56" t="e">
        <f>G7+G9+G11+G10</f>
        <v>#REF!</v>
      </c>
      <c r="H15" s="56" t="e">
        <f t="shared" ref="H15:AB15" si="1">H7+H9+H11+H10</f>
        <v>#REF!</v>
      </c>
      <c r="I15" s="56" t="e">
        <f t="shared" si="1"/>
        <v>#REF!</v>
      </c>
      <c r="J15" s="56" t="e">
        <f>SUM(G15:I15)</f>
        <v>#REF!</v>
      </c>
      <c r="K15" s="56">
        <f>K7+K9+K11+K10</f>
        <v>0</v>
      </c>
      <c r="L15" s="160"/>
      <c r="M15" s="56" t="e">
        <f t="shared" si="1"/>
        <v>#REF!</v>
      </c>
      <c r="N15" s="56" t="e">
        <f t="shared" si="1"/>
        <v>#REF!</v>
      </c>
      <c r="O15" s="56" t="e">
        <f t="shared" si="1"/>
        <v>#REF!</v>
      </c>
      <c r="P15" s="56" t="e">
        <f>SUM(M15:O15)</f>
        <v>#REF!</v>
      </c>
      <c r="Q15" s="56">
        <f>Q7+Q9+Q11+Q10</f>
        <v>0</v>
      </c>
      <c r="R15" s="160"/>
      <c r="S15" s="56" t="e">
        <f>S7+S9+S11+S10</f>
        <v>#REF!</v>
      </c>
      <c r="T15" s="56">
        <f>T7+T9+T11+T10</f>
        <v>0</v>
      </c>
      <c r="U15" s="160" t="e">
        <f>(T15-S15)/S15</f>
        <v>#REF!</v>
      </c>
      <c r="V15" s="56" t="e">
        <f t="shared" si="1"/>
        <v>#REF!</v>
      </c>
      <c r="W15" s="56" t="e">
        <f t="shared" si="1"/>
        <v>#REF!</v>
      </c>
      <c r="X15" s="56" t="e">
        <f t="shared" si="1"/>
        <v>#REF!</v>
      </c>
      <c r="Y15" s="56" t="e">
        <f>SUM(V15:X15)</f>
        <v>#REF!</v>
      </c>
      <c r="Z15" s="56" t="e">
        <f t="shared" si="1"/>
        <v>#REF!</v>
      </c>
      <c r="AA15" s="56" t="e">
        <f t="shared" si="1"/>
        <v>#REF!</v>
      </c>
      <c r="AB15" s="57" t="e">
        <f t="shared" si="1"/>
        <v>#REF!</v>
      </c>
      <c r="AC15" s="56" t="e">
        <f>SUM(Z15:AB15)</f>
        <v>#REF!</v>
      </c>
      <c r="AD15" s="56" t="e">
        <f>AD7+AD9+AD11+AD10</f>
        <v>#REF!</v>
      </c>
      <c r="AE15" s="7"/>
      <c r="AF15" s="59"/>
    </row>
    <row r="16" spans="2:36" s="66" customFormat="1" ht="21.75" customHeight="1">
      <c r="B16" s="61"/>
      <c r="C16" s="161" t="s">
        <v>54</v>
      </c>
      <c r="D16" s="162"/>
      <c r="E16" s="62" t="s">
        <v>109</v>
      </c>
      <c r="F16" s="64"/>
      <c r="G16" s="32" t="e">
        <f>+#REF!</f>
        <v>#REF!</v>
      </c>
      <c r="H16" s="32" t="e">
        <f>+#REF!</f>
        <v>#REF!</v>
      </c>
      <c r="I16" s="32" t="e">
        <f>+#REF!</f>
        <v>#REF!</v>
      </c>
      <c r="J16" s="32" t="e">
        <f>SUM(G16:I16)</f>
        <v>#REF!</v>
      </c>
      <c r="K16" s="32">
        <v>0</v>
      </c>
      <c r="L16" s="149"/>
      <c r="M16" s="32" t="e">
        <f>+#REF!</f>
        <v>#REF!</v>
      </c>
      <c r="N16" s="32" t="e">
        <f>+#REF!</f>
        <v>#REF!</v>
      </c>
      <c r="O16" s="32" t="e">
        <f>+#REF!</f>
        <v>#REF!</v>
      </c>
      <c r="P16" s="32" t="e">
        <f>SUM(M16:O16)</f>
        <v>#REF!</v>
      </c>
      <c r="Q16" s="32"/>
      <c r="R16" s="149"/>
      <c r="S16" s="32" t="e">
        <f>+P16+J16</f>
        <v>#REF!</v>
      </c>
      <c r="T16" s="32">
        <f>+Q16+K16</f>
        <v>0</v>
      </c>
      <c r="U16" s="149"/>
      <c r="V16" s="32" t="e">
        <f>+#REF!</f>
        <v>#REF!</v>
      </c>
      <c r="W16" s="32" t="e">
        <f>+#REF!</f>
        <v>#REF!</v>
      </c>
      <c r="X16" s="32" t="e">
        <f>+#REF!</f>
        <v>#REF!</v>
      </c>
      <c r="Y16" s="32" t="e">
        <f>SUM(V16:X16)</f>
        <v>#REF!</v>
      </c>
      <c r="Z16" s="32" t="e">
        <f>+#REF!</f>
        <v>#REF!</v>
      </c>
      <c r="AA16" s="32" t="e">
        <f>+#REF!</f>
        <v>#REF!</v>
      </c>
      <c r="AB16" s="33" t="e">
        <f>+#REF!</f>
        <v>#REF!</v>
      </c>
      <c r="AC16" s="32" t="e">
        <f>SUM(Z16:AB16)</f>
        <v>#REF!</v>
      </c>
      <c r="AD16" s="32" t="e">
        <f>+T16+Y16+AC16</f>
        <v>#REF!</v>
      </c>
      <c r="AE16" s="153"/>
      <c r="AF16" s="65"/>
      <c r="AH16" s="67"/>
    </row>
    <row r="17" spans="2:53" ht="12" customHeight="1">
      <c r="B17" s="6"/>
      <c r="C17" s="163" t="s">
        <v>55</v>
      </c>
      <c r="D17" s="31"/>
      <c r="E17" s="68" t="s">
        <v>110</v>
      </c>
      <c r="F17" s="20"/>
      <c r="G17" s="50"/>
      <c r="H17" s="50"/>
      <c r="I17" s="50"/>
      <c r="J17" s="50"/>
      <c r="K17" s="50"/>
      <c r="L17" s="149"/>
      <c r="M17" s="50"/>
      <c r="N17" s="50"/>
      <c r="O17" s="50"/>
      <c r="P17" s="50"/>
      <c r="Q17" s="50"/>
      <c r="R17" s="149"/>
      <c r="S17" s="50"/>
      <c r="T17" s="32">
        <f>+Q17+K17</f>
        <v>0</v>
      </c>
      <c r="U17" s="149"/>
      <c r="V17" s="50"/>
      <c r="W17" s="50"/>
      <c r="X17" s="50"/>
      <c r="Y17" s="50"/>
      <c r="Z17" s="50"/>
      <c r="AA17" s="50"/>
      <c r="AB17" s="51"/>
      <c r="AC17" s="50"/>
      <c r="AD17" s="32">
        <f>+T17+Y17+AC17</f>
        <v>0</v>
      </c>
      <c r="AE17" s="13"/>
      <c r="AF17" s="25"/>
      <c r="AH17" s="71"/>
      <c r="AI17" s="72"/>
      <c r="AJ17" s="72"/>
      <c r="AK17" s="72"/>
      <c r="AL17" s="72"/>
      <c r="AM17" s="72"/>
      <c r="AO17" s="71"/>
      <c r="AP17" s="72"/>
      <c r="AQ17" s="72"/>
      <c r="AR17" s="72"/>
      <c r="AS17" s="72"/>
      <c r="AT17" s="72"/>
      <c r="AV17" s="73"/>
      <c r="AW17" s="72"/>
      <c r="AX17" s="72"/>
      <c r="AY17" s="72"/>
      <c r="AZ17" s="72"/>
      <c r="BA17" s="72"/>
    </row>
    <row r="18" spans="2:53" s="60" customFormat="1" ht="15">
      <c r="B18" s="54"/>
      <c r="C18" s="55" t="s">
        <v>56</v>
      </c>
      <c r="D18" s="31"/>
      <c r="E18" s="55" t="s">
        <v>111</v>
      </c>
      <c r="F18" s="27"/>
      <c r="G18" s="56" t="e">
        <f>+G15-G16-G17</f>
        <v>#REF!</v>
      </c>
      <c r="H18" s="74" t="e">
        <f t="shared" ref="H18:AB18" si="2">+H15-H16-H17</f>
        <v>#REF!</v>
      </c>
      <c r="I18" s="74" t="e">
        <f t="shared" si="2"/>
        <v>#REF!</v>
      </c>
      <c r="J18" s="74" t="e">
        <f t="shared" ref="J18:J23" si="3">SUM(G18:I18)</f>
        <v>#REF!</v>
      </c>
      <c r="K18" s="74">
        <f>+K15-K16-K17</f>
        <v>0</v>
      </c>
      <c r="L18" s="164">
        <v>1</v>
      </c>
      <c r="M18" s="74" t="e">
        <f t="shared" si="2"/>
        <v>#REF!</v>
      </c>
      <c r="N18" s="74" t="e">
        <f t="shared" si="2"/>
        <v>#REF!</v>
      </c>
      <c r="O18" s="74" t="e">
        <f t="shared" si="2"/>
        <v>#REF!</v>
      </c>
      <c r="P18" s="74" t="e">
        <f t="shared" ref="P18:P23" si="4">SUM(M18:O18)</f>
        <v>#REF!</v>
      </c>
      <c r="Q18" s="74">
        <f>+Q15-Q16-Q17</f>
        <v>0</v>
      </c>
      <c r="R18" s="164">
        <v>1</v>
      </c>
      <c r="S18" s="74" t="e">
        <f>+S15-S16-S17</f>
        <v>#REF!</v>
      </c>
      <c r="T18" s="74">
        <f>+T15-T16-T17</f>
        <v>0</v>
      </c>
      <c r="U18" s="160" t="e">
        <f>(T18-S18)/S18</f>
        <v>#REF!</v>
      </c>
      <c r="V18" s="74" t="e">
        <f t="shared" si="2"/>
        <v>#REF!</v>
      </c>
      <c r="W18" s="74" t="e">
        <f t="shared" si="2"/>
        <v>#REF!</v>
      </c>
      <c r="X18" s="74" t="e">
        <f t="shared" si="2"/>
        <v>#REF!</v>
      </c>
      <c r="Y18" s="74" t="e">
        <f t="shared" ref="Y18:Y23" si="5">SUM(V18:X18)</f>
        <v>#REF!</v>
      </c>
      <c r="Z18" s="74" t="e">
        <f t="shared" si="2"/>
        <v>#REF!</v>
      </c>
      <c r="AA18" s="74" t="e">
        <f t="shared" si="2"/>
        <v>#REF!</v>
      </c>
      <c r="AB18" s="75" t="e">
        <f t="shared" si="2"/>
        <v>#REF!</v>
      </c>
      <c r="AC18" s="74" t="e">
        <f t="shared" ref="AC18:AC23" si="6">SUM(Z18:AB18)</f>
        <v>#REF!</v>
      </c>
      <c r="AD18" s="74" t="e">
        <f>+AD15-AD16-AD17</f>
        <v>#REF!</v>
      </c>
      <c r="AE18" s="7"/>
      <c r="AF18" s="76"/>
    </row>
    <row r="19" spans="2:53" s="84" customFormat="1" ht="21" customHeight="1">
      <c r="B19" s="77"/>
      <c r="C19" s="165" t="s">
        <v>57</v>
      </c>
      <c r="D19" s="24"/>
      <c r="E19" s="78" t="s">
        <v>112</v>
      </c>
      <c r="F19" s="20"/>
      <c r="G19" s="79" t="e">
        <f>ROUND(SUM(G20:G23),1)</f>
        <v>#REF!</v>
      </c>
      <c r="H19" s="79" t="e">
        <f t="shared" ref="H19:AB19" si="7">ROUND(SUM(H20:H23),1)</f>
        <v>#REF!</v>
      </c>
      <c r="I19" s="79" t="e">
        <f t="shared" si="7"/>
        <v>#REF!</v>
      </c>
      <c r="J19" s="79" t="e">
        <f t="shared" si="3"/>
        <v>#REF!</v>
      </c>
      <c r="K19" s="79">
        <f>ROUND(SUM(K20:K23),1)</f>
        <v>0</v>
      </c>
      <c r="L19" s="166" t="e">
        <f>(K19-J19)/J19</f>
        <v>#REF!</v>
      </c>
      <c r="M19" s="79" t="e">
        <f t="shared" si="7"/>
        <v>#REF!</v>
      </c>
      <c r="N19" s="79" t="e">
        <f t="shared" si="7"/>
        <v>#REF!</v>
      </c>
      <c r="O19" s="79" t="e">
        <f t="shared" si="7"/>
        <v>#REF!</v>
      </c>
      <c r="P19" s="79" t="e">
        <f t="shared" si="4"/>
        <v>#REF!</v>
      </c>
      <c r="Q19" s="79">
        <f>ROUND(SUM(Q20:Q23),1)</f>
        <v>0</v>
      </c>
      <c r="R19" s="166" t="e">
        <f>(Q19-P19)/P19</f>
        <v>#REF!</v>
      </c>
      <c r="S19" s="79" t="e">
        <f>ROUND(SUM(S20:S23),1)</f>
        <v>#REF!</v>
      </c>
      <c r="T19" s="79">
        <f>ROUND(SUM(T20:T23),1)</f>
        <v>0</v>
      </c>
      <c r="U19" s="155" t="e">
        <f>(T19-S19)/S19</f>
        <v>#REF!</v>
      </c>
      <c r="V19" s="79" t="e">
        <f t="shared" si="7"/>
        <v>#REF!</v>
      </c>
      <c r="W19" s="79" t="e">
        <f t="shared" si="7"/>
        <v>#REF!</v>
      </c>
      <c r="X19" s="79" t="e">
        <f t="shared" si="7"/>
        <v>#REF!</v>
      </c>
      <c r="Y19" s="79" t="e">
        <f t="shared" si="5"/>
        <v>#REF!</v>
      </c>
      <c r="Z19" s="79" t="e">
        <f t="shared" si="7"/>
        <v>#REF!</v>
      </c>
      <c r="AA19" s="79" t="e">
        <f t="shared" si="7"/>
        <v>#REF!</v>
      </c>
      <c r="AB19" s="79" t="e">
        <f t="shared" si="7"/>
        <v>#REF!</v>
      </c>
      <c r="AC19" s="79" t="e">
        <f t="shared" si="6"/>
        <v>#REF!</v>
      </c>
      <c r="AD19" s="79" t="e">
        <f>ROUND(SUM(AD20:AD23),1)</f>
        <v>#REF!</v>
      </c>
      <c r="AE19" s="13"/>
      <c r="AF19" s="83"/>
      <c r="AH19" s="85"/>
    </row>
    <row r="20" spans="2:53" ht="14" customHeight="1">
      <c r="B20" s="6"/>
      <c r="C20" s="156" t="s">
        <v>84</v>
      </c>
      <c r="D20" s="31"/>
      <c r="E20" s="48" t="s">
        <v>113</v>
      </c>
      <c r="F20" s="27"/>
      <c r="G20" s="2" t="e">
        <f>+#REF!</f>
        <v>#REF!</v>
      </c>
      <c r="H20" s="2" t="e">
        <f>+#REF!</f>
        <v>#REF!</v>
      </c>
      <c r="I20" s="2" t="e">
        <f>+#REF!</f>
        <v>#REF!</v>
      </c>
      <c r="J20" s="167" t="e">
        <f t="shared" si="3"/>
        <v>#REF!</v>
      </c>
      <c r="K20" s="167"/>
      <c r="L20" s="168" t="e">
        <f>(K20-J20)/J20</f>
        <v>#REF!</v>
      </c>
      <c r="M20" s="2" t="e">
        <f>+#REF!+#REF!</f>
        <v>#REF!</v>
      </c>
      <c r="N20" s="2" t="e">
        <f>+#REF!+#REF!</f>
        <v>#REF!</v>
      </c>
      <c r="O20" s="2" t="e">
        <f>+#REF!+#REF!</f>
        <v>#REF!</v>
      </c>
      <c r="P20" s="167" t="e">
        <f t="shared" si="4"/>
        <v>#REF!</v>
      </c>
      <c r="Q20" s="167"/>
      <c r="R20" s="168" t="e">
        <f>(Q20-P20)/P20</f>
        <v>#REF!</v>
      </c>
      <c r="S20" s="32" t="e">
        <f t="shared" ref="S20:T23" si="8">+P20+J20</f>
        <v>#REF!</v>
      </c>
      <c r="T20" s="32">
        <f t="shared" si="8"/>
        <v>0</v>
      </c>
      <c r="U20" s="168" t="e">
        <f>(T20-S20)/S20</f>
        <v>#REF!</v>
      </c>
      <c r="V20" s="2" t="e">
        <f>+#REF!+#REF!</f>
        <v>#REF!</v>
      </c>
      <c r="W20" s="2" t="e">
        <f>+#REF!+#REF!</f>
        <v>#REF!</v>
      </c>
      <c r="X20" s="2" t="e">
        <f>+#REF!+#REF!</f>
        <v>#REF!</v>
      </c>
      <c r="Y20" s="167" t="e">
        <f t="shared" si="5"/>
        <v>#REF!</v>
      </c>
      <c r="Z20" s="2" t="e">
        <f>+#REF!+#REF!</f>
        <v>#REF!</v>
      </c>
      <c r="AA20" s="2" t="e">
        <f>+#REF!+#REF!</f>
        <v>#REF!</v>
      </c>
      <c r="AB20" s="2" t="e">
        <f>+#REF!+#REF!</f>
        <v>#REF!</v>
      </c>
      <c r="AC20" s="167" t="e">
        <f t="shared" si="6"/>
        <v>#REF!</v>
      </c>
      <c r="AD20" s="32" t="e">
        <f t="shared" ref="AD20:AD25" si="9">+T20+Y20+AC20</f>
        <v>#REF!</v>
      </c>
      <c r="AE20" s="7"/>
      <c r="AF20" s="11"/>
    </row>
    <row r="21" spans="2:53" ht="15">
      <c r="B21" s="6"/>
      <c r="C21" s="169" t="s">
        <v>175</v>
      </c>
      <c r="D21" s="31"/>
      <c r="E21" s="88" t="s">
        <v>114</v>
      </c>
      <c r="F21" s="27"/>
      <c r="G21" s="32"/>
      <c r="H21" s="32"/>
      <c r="I21" s="32"/>
      <c r="J21" s="32">
        <f t="shared" si="3"/>
        <v>0</v>
      </c>
      <c r="K21" s="32"/>
      <c r="L21" s="149"/>
      <c r="M21" s="32"/>
      <c r="N21" s="32"/>
      <c r="O21" s="32"/>
      <c r="P21" s="32">
        <f t="shared" si="4"/>
        <v>0</v>
      </c>
      <c r="Q21" s="32"/>
      <c r="R21" s="149"/>
      <c r="S21" s="32">
        <f t="shared" si="8"/>
        <v>0</v>
      </c>
      <c r="T21" s="32">
        <f t="shared" si="8"/>
        <v>0</v>
      </c>
      <c r="U21" s="149"/>
      <c r="V21" s="32"/>
      <c r="W21" s="32"/>
      <c r="X21" s="32"/>
      <c r="Y21" s="32">
        <f t="shared" si="5"/>
        <v>0</v>
      </c>
      <c r="Z21" s="32"/>
      <c r="AA21" s="32"/>
      <c r="AB21" s="33"/>
      <c r="AC21" s="32">
        <f t="shared" si="6"/>
        <v>0</v>
      </c>
      <c r="AD21" s="32">
        <f t="shared" si="9"/>
        <v>0</v>
      </c>
      <c r="AE21" s="7"/>
      <c r="AF21" s="11"/>
    </row>
    <row r="22" spans="2:53">
      <c r="B22" s="6"/>
      <c r="C22" s="5" t="s">
        <v>85</v>
      </c>
      <c r="D22" s="92"/>
      <c r="E22" s="89" t="s">
        <v>115</v>
      </c>
      <c r="F22" s="90"/>
      <c r="G22" s="50" t="e">
        <f>+G20*Parameter!$D$25</f>
        <v>#REF!</v>
      </c>
      <c r="H22" s="50" t="e">
        <f>+H20*Parameter!$D$25</f>
        <v>#REF!</v>
      </c>
      <c r="I22" s="50" t="e">
        <f>+I20*Parameter!$D$25</f>
        <v>#REF!</v>
      </c>
      <c r="J22" s="32" t="e">
        <f t="shared" si="3"/>
        <v>#REF!</v>
      </c>
      <c r="K22" s="32"/>
      <c r="L22" s="149" t="e">
        <f>(K22-J22)/J22</f>
        <v>#REF!</v>
      </c>
      <c r="M22" s="50" t="e">
        <f>+M20*Parameter!$D$25</f>
        <v>#REF!</v>
      </c>
      <c r="N22" s="50" t="e">
        <f>+N20*Parameter!$D$25</f>
        <v>#REF!</v>
      </c>
      <c r="O22" s="50" t="e">
        <f>+O20*Parameter!$D$25</f>
        <v>#REF!</v>
      </c>
      <c r="P22" s="32" t="e">
        <f t="shared" si="4"/>
        <v>#REF!</v>
      </c>
      <c r="Q22" s="32"/>
      <c r="R22" s="149" t="e">
        <f>(Q22-P22)/P22</f>
        <v>#REF!</v>
      </c>
      <c r="S22" s="32" t="e">
        <f t="shared" si="8"/>
        <v>#REF!</v>
      </c>
      <c r="T22" s="32">
        <f t="shared" si="8"/>
        <v>0</v>
      </c>
      <c r="U22" s="149"/>
      <c r="V22" s="50" t="e">
        <f>+V20*Parameter!$D$25</f>
        <v>#REF!</v>
      </c>
      <c r="W22" s="50" t="e">
        <f>+W20*Parameter!$D$25</f>
        <v>#REF!</v>
      </c>
      <c r="X22" s="50" t="e">
        <f>+X20*Parameter!$D$25</f>
        <v>#REF!</v>
      </c>
      <c r="Y22" s="32" t="e">
        <f t="shared" si="5"/>
        <v>#REF!</v>
      </c>
      <c r="Z22" s="50" t="e">
        <f>+Z20*Parameter!$D$25</f>
        <v>#REF!</v>
      </c>
      <c r="AA22" s="50" t="e">
        <f>+AA20*Parameter!$D$25</f>
        <v>#REF!</v>
      </c>
      <c r="AB22" s="51" t="e">
        <f>+AB20*Parameter!$D$25</f>
        <v>#REF!</v>
      </c>
      <c r="AC22" s="32" t="e">
        <f t="shared" si="6"/>
        <v>#REF!</v>
      </c>
      <c r="AD22" s="32" t="e">
        <f t="shared" si="9"/>
        <v>#REF!</v>
      </c>
      <c r="AF22" s="11"/>
    </row>
    <row r="23" spans="2:53" ht="14" customHeight="1">
      <c r="B23" s="6"/>
      <c r="C23" s="169" t="s">
        <v>176</v>
      </c>
      <c r="D23" s="31"/>
      <c r="E23" s="88" t="s">
        <v>116</v>
      </c>
      <c r="F23" s="27"/>
      <c r="G23" s="32"/>
      <c r="H23" s="32"/>
      <c r="I23" s="32"/>
      <c r="J23" s="32">
        <f t="shared" si="3"/>
        <v>0</v>
      </c>
      <c r="K23" s="32"/>
      <c r="L23" s="149">
        <v>1</v>
      </c>
      <c r="M23" s="115" t="e">
        <f>+#REF!</f>
        <v>#REF!</v>
      </c>
      <c r="N23" s="115" t="e">
        <f>+#REF!</f>
        <v>#REF!</v>
      </c>
      <c r="O23" s="115" t="e">
        <f>+#REF!</f>
        <v>#REF!</v>
      </c>
      <c r="P23" s="32" t="e">
        <f t="shared" si="4"/>
        <v>#REF!</v>
      </c>
      <c r="Q23" s="32"/>
      <c r="R23" s="149">
        <v>1</v>
      </c>
      <c r="S23" s="32" t="e">
        <f t="shared" si="8"/>
        <v>#REF!</v>
      </c>
      <c r="T23" s="32">
        <f t="shared" si="8"/>
        <v>0</v>
      </c>
      <c r="U23" s="149" t="e">
        <f>(T23-S23)/S23</f>
        <v>#REF!</v>
      </c>
      <c r="V23" s="32" t="e">
        <f>+#REF!</f>
        <v>#REF!</v>
      </c>
      <c r="W23" s="32" t="e">
        <f>+#REF!</f>
        <v>#REF!</v>
      </c>
      <c r="X23" s="32" t="e">
        <f>+#REF!</f>
        <v>#REF!</v>
      </c>
      <c r="Y23" s="32" t="e">
        <f t="shared" si="5"/>
        <v>#REF!</v>
      </c>
      <c r="Z23" s="32" t="e">
        <f>+#REF!</f>
        <v>#REF!</v>
      </c>
      <c r="AA23" s="32" t="e">
        <f>+#REF!</f>
        <v>#REF!</v>
      </c>
      <c r="AB23" s="32" t="e">
        <f>+#REF!</f>
        <v>#REF!</v>
      </c>
      <c r="AC23" s="32" t="e">
        <f t="shared" si="6"/>
        <v>#REF!</v>
      </c>
      <c r="AD23" s="32" t="e">
        <f t="shared" si="9"/>
        <v>#REF!</v>
      </c>
      <c r="AE23" s="7"/>
      <c r="AF23" s="11"/>
    </row>
    <row r="24" spans="2:53" ht="12" customHeight="1">
      <c r="B24" s="6"/>
      <c r="C24" s="158"/>
      <c r="D24" s="31"/>
      <c r="E24" s="52"/>
      <c r="F24" s="27"/>
      <c r="G24" s="93"/>
      <c r="H24" s="72"/>
      <c r="I24" s="72"/>
      <c r="J24" s="72"/>
      <c r="K24" s="72"/>
      <c r="M24" s="72"/>
      <c r="N24" s="72"/>
      <c r="O24" s="72"/>
      <c r="P24" s="72"/>
      <c r="Q24" s="72"/>
      <c r="S24" s="72"/>
      <c r="V24" s="72"/>
      <c r="W24" s="72"/>
      <c r="X24" s="72"/>
      <c r="Y24" s="72"/>
      <c r="Z24" s="72"/>
      <c r="AA24" s="72"/>
      <c r="AB24" s="72"/>
      <c r="AC24" s="72"/>
      <c r="AD24" s="32">
        <f t="shared" si="9"/>
        <v>0</v>
      </c>
      <c r="AE24" s="7"/>
      <c r="AF24" s="11"/>
    </row>
    <row r="25" spans="2:53" s="84" customFormat="1" ht="12" customHeight="1">
      <c r="B25" s="77"/>
      <c r="C25" s="170" t="s">
        <v>58</v>
      </c>
      <c r="D25" s="31"/>
      <c r="E25" s="96" t="s">
        <v>117</v>
      </c>
      <c r="F25" s="27"/>
      <c r="G25" s="44" t="e">
        <f>+'Development Costs'!#REF!</f>
        <v>#REF!</v>
      </c>
      <c r="H25" s="44" t="e">
        <f>+'Development Costs'!#REF!</f>
        <v>#REF!</v>
      </c>
      <c r="I25" s="44" t="e">
        <f>+'Development Costs'!#REF!</f>
        <v>#REF!</v>
      </c>
      <c r="J25" s="44" t="e">
        <f>SUM(G25:I25)</f>
        <v>#REF!</v>
      </c>
      <c r="K25" s="44">
        <v>0</v>
      </c>
      <c r="L25" s="155"/>
      <c r="M25" s="44" t="e">
        <f>+'Development Costs'!#REF!</f>
        <v>#REF!</v>
      </c>
      <c r="N25" s="44" t="e">
        <f>+'Development Costs'!#REF!</f>
        <v>#REF!</v>
      </c>
      <c r="O25" s="44" t="e">
        <f>+'Development Costs'!#REF!</f>
        <v>#REF!</v>
      </c>
      <c r="P25" s="44" t="e">
        <f>SUM(M25:O25)</f>
        <v>#REF!</v>
      </c>
      <c r="Q25" s="44">
        <v>0.04</v>
      </c>
      <c r="R25" s="155"/>
      <c r="S25" s="44">
        <v>0.04</v>
      </c>
      <c r="T25" s="44">
        <f>+Q25+K25</f>
        <v>0.04</v>
      </c>
      <c r="U25" s="155"/>
      <c r="V25" s="44" t="e">
        <f>+'Development Costs'!#REF!</f>
        <v>#REF!</v>
      </c>
      <c r="W25" s="44" t="e">
        <f>+'Development Costs'!#REF!</f>
        <v>#REF!</v>
      </c>
      <c r="X25" s="44" t="e">
        <f>+'Development Costs'!#REF!</f>
        <v>#REF!</v>
      </c>
      <c r="Y25" s="44" t="e">
        <f>SUM(V25:X25)</f>
        <v>#REF!</v>
      </c>
      <c r="Z25" s="44" t="e">
        <f>+'Development Costs'!#REF!</f>
        <v>#REF!</v>
      </c>
      <c r="AA25" s="44" t="e">
        <f>+'Development Costs'!#REF!</f>
        <v>#REF!</v>
      </c>
      <c r="AB25" s="45" t="e">
        <f>+'Development Costs'!#REF!</f>
        <v>#REF!</v>
      </c>
      <c r="AC25" s="44" t="e">
        <f>SUM(Z25:AB25)</f>
        <v>#REF!</v>
      </c>
      <c r="AD25" s="44" t="e">
        <f t="shared" si="9"/>
        <v>#REF!</v>
      </c>
      <c r="AE25" s="7"/>
      <c r="AF25" s="83"/>
      <c r="AH25" s="85"/>
    </row>
    <row r="26" spans="2:53" ht="12" customHeight="1">
      <c r="B26" s="6"/>
      <c r="D26" s="31"/>
      <c r="E26" s="97"/>
      <c r="F26" s="27"/>
      <c r="G26" s="72"/>
      <c r="H26" s="72"/>
      <c r="I26" s="72"/>
      <c r="J26" s="72"/>
      <c r="K26" s="72"/>
      <c r="M26" s="72"/>
      <c r="N26" s="72"/>
      <c r="O26" s="72"/>
      <c r="P26" s="72"/>
      <c r="Q26" s="72"/>
      <c r="S26" s="72"/>
      <c r="V26" s="72"/>
      <c r="W26" s="72"/>
      <c r="X26" s="72"/>
      <c r="Y26" s="72"/>
      <c r="Z26" s="72"/>
      <c r="AA26" s="72"/>
      <c r="AB26" s="72"/>
      <c r="AC26" s="72"/>
      <c r="AD26" s="72"/>
      <c r="AE26" s="7"/>
      <c r="AF26" s="11"/>
    </row>
    <row r="27" spans="2:53" s="84" customFormat="1" ht="15" customHeight="1">
      <c r="B27" s="77"/>
      <c r="C27" s="170" t="s">
        <v>59</v>
      </c>
      <c r="D27" s="24"/>
      <c r="E27" s="96" t="s">
        <v>118</v>
      </c>
      <c r="F27" s="27"/>
      <c r="G27" s="44" t="e">
        <f>ROUND(SUM(G28:G34),1)</f>
        <v>#REF!</v>
      </c>
      <c r="H27" s="44" t="e">
        <f t="shared" ref="H27:AB27" si="10">ROUND(SUM(H28:H34),1)</f>
        <v>#REF!</v>
      </c>
      <c r="I27" s="44" t="e">
        <f t="shared" si="10"/>
        <v>#REF!</v>
      </c>
      <c r="J27" s="44" t="e">
        <f t="shared" ref="J27:J34" si="11">SUM(G27:I27)</f>
        <v>#REF!</v>
      </c>
      <c r="K27" s="44">
        <f>ROUND(SUM(K28:K34),1)</f>
        <v>0</v>
      </c>
      <c r="L27" s="155" t="e">
        <f>(K27-J27)/J27</f>
        <v>#REF!</v>
      </c>
      <c r="M27" s="44" t="e">
        <f t="shared" si="10"/>
        <v>#REF!</v>
      </c>
      <c r="N27" s="44" t="e">
        <f t="shared" si="10"/>
        <v>#REF!</v>
      </c>
      <c r="O27" s="44" t="e">
        <f t="shared" si="10"/>
        <v>#REF!</v>
      </c>
      <c r="P27" s="44" t="e">
        <f t="shared" ref="P27:P34" si="12">SUM(M27:O27)</f>
        <v>#REF!</v>
      </c>
      <c r="Q27" s="44">
        <f>ROUND(SUM(Q28:Q34),1)</f>
        <v>0</v>
      </c>
      <c r="R27" s="155" t="e">
        <f>(Q27-P27)/P27</f>
        <v>#REF!</v>
      </c>
      <c r="S27" s="44" t="e">
        <f>ROUND(SUM(S28:S34),1)</f>
        <v>#REF!</v>
      </c>
      <c r="T27" s="44">
        <f>ROUND(SUM(T28:T34),1)</f>
        <v>0</v>
      </c>
      <c r="U27" s="155" t="e">
        <f>(T27-S27)/S27</f>
        <v>#REF!</v>
      </c>
      <c r="V27" s="44" t="e">
        <f t="shared" si="10"/>
        <v>#REF!</v>
      </c>
      <c r="W27" s="44" t="e">
        <f t="shared" si="10"/>
        <v>#REF!</v>
      </c>
      <c r="X27" s="44" t="e">
        <f t="shared" si="10"/>
        <v>#REF!</v>
      </c>
      <c r="Y27" s="44" t="e">
        <f t="shared" ref="Y27:Y34" si="13">SUM(V27:X27)</f>
        <v>#REF!</v>
      </c>
      <c r="Z27" s="44" t="e">
        <f t="shared" si="10"/>
        <v>#REF!</v>
      </c>
      <c r="AA27" s="44" t="e">
        <f t="shared" si="10"/>
        <v>#REF!</v>
      </c>
      <c r="AB27" s="45" t="e">
        <f t="shared" si="10"/>
        <v>#REF!</v>
      </c>
      <c r="AC27" s="44" t="e">
        <f t="shared" ref="AC27:AC34" si="14">SUM(Z27:AB27)</f>
        <v>#REF!</v>
      </c>
      <c r="AD27" s="44" t="e">
        <f>ROUND(SUM(AD28:AD34),1)</f>
        <v>#REF!</v>
      </c>
      <c r="AE27" s="7"/>
      <c r="AF27" s="83"/>
      <c r="AH27" s="85"/>
    </row>
    <row r="28" spans="2:53" ht="12" customHeight="1">
      <c r="B28" s="6"/>
      <c r="C28" s="156" t="s">
        <v>60</v>
      </c>
      <c r="D28" s="31"/>
      <c r="E28" s="48" t="s">
        <v>119</v>
      </c>
      <c r="F28" s="27"/>
      <c r="G28" s="2">
        <f>(+'other  costs'!F15+'other  costs'!F10)/$O$3</f>
        <v>1.5</v>
      </c>
      <c r="H28" s="2">
        <f>(+'other  costs'!G15+'other  costs'!G10)/$O$3</f>
        <v>0</v>
      </c>
      <c r="I28" s="2">
        <f>(+'other  costs'!H15+'other  costs'!H10)/$O$3</f>
        <v>0</v>
      </c>
      <c r="J28" s="2">
        <f t="shared" si="11"/>
        <v>1.5</v>
      </c>
      <c r="K28" s="2">
        <v>0</v>
      </c>
      <c r="L28" s="171">
        <f>(K28-J28)/J28</f>
        <v>-1</v>
      </c>
      <c r="M28" s="2">
        <f>(+'other  costs'!I15+'other  costs'!I10)/$O$3</f>
        <v>0</v>
      </c>
      <c r="N28" s="2">
        <f>(+'other  costs'!J15+'other  costs'!J10)/$O$3</f>
        <v>0</v>
      </c>
      <c r="O28" s="2">
        <f>(+'other  costs'!K15+'other  costs'!K10)/$O$3</f>
        <v>0</v>
      </c>
      <c r="P28" s="2">
        <f t="shared" si="12"/>
        <v>0</v>
      </c>
      <c r="Q28" s="2">
        <v>0</v>
      </c>
      <c r="R28" s="171" t="e">
        <f>(Q28-P28)/P28</f>
        <v>#DIV/0!</v>
      </c>
      <c r="S28" s="32">
        <f t="shared" ref="S28:T34" si="15">+P28+J28</f>
        <v>1.5</v>
      </c>
      <c r="T28" s="32">
        <f t="shared" si="15"/>
        <v>0</v>
      </c>
      <c r="U28" s="149">
        <f>(T28-S28)/S28</f>
        <v>-1</v>
      </c>
      <c r="V28" s="2">
        <f>(+'other  costs'!L15+'other  costs'!L10)/$O$3</f>
        <v>0</v>
      </c>
      <c r="W28" s="2">
        <f>(+'other  costs'!M15+'other  costs'!M10)/$O$3</f>
        <v>0</v>
      </c>
      <c r="X28" s="2">
        <f>(+'other  costs'!N15+'other  costs'!N10)/$O$3</f>
        <v>0</v>
      </c>
      <c r="Y28" s="2">
        <f t="shared" si="13"/>
        <v>0</v>
      </c>
      <c r="Z28" s="2">
        <f>(+'other  costs'!O15+'other  costs'!O10)/$O$3</f>
        <v>0</v>
      </c>
      <c r="AA28" s="2">
        <f>(+'other  costs'!P15+'other  costs'!P10)/$O$3</f>
        <v>0</v>
      </c>
      <c r="AB28" s="2">
        <f>(+'other  costs'!Q15+'other  costs'!Q10)/$O$3</f>
        <v>0</v>
      </c>
      <c r="AC28" s="2">
        <f t="shared" si="14"/>
        <v>0</v>
      </c>
      <c r="AD28" s="32">
        <f t="shared" ref="AD28:AD34" si="16">+T28+Y28+AC28</f>
        <v>0</v>
      </c>
      <c r="AE28" s="7"/>
      <c r="AF28" s="11"/>
      <c r="AH28" s="67"/>
    </row>
    <row r="29" spans="2:53" ht="12" customHeight="1">
      <c r="B29" s="6"/>
      <c r="C29" s="169" t="s">
        <v>61</v>
      </c>
      <c r="D29" s="31"/>
      <c r="E29" s="88" t="s">
        <v>120</v>
      </c>
      <c r="F29" s="64"/>
      <c r="G29" s="32" t="e">
        <f>+'other  costs'!#REF!/$O$3</f>
        <v>#REF!</v>
      </c>
      <c r="H29" s="32" t="e">
        <f>+'other  costs'!#REF!/$O$3</f>
        <v>#REF!</v>
      </c>
      <c r="I29" s="32" t="e">
        <f>+'other  costs'!#REF!/$O$3</f>
        <v>#REF!</v>
      </c>
      <c r="J29" s="32" t="e">
        <f t="shared" si="11"/>
        <v>#REF!</v>
      </c>
      <c r="K29" s="32">
        <v>0</v>
      </c>
      <c r="L29" s="149"/>
      <c r="M29" s="32" t="e">
        <f>+'other  costs'!#REF!/$O$3</f>
        <v>#REF!</v>
      </c>
      <c r="N29" s="32" t="e">
        <f>+'other  costs'!#REF!/$O$3</f>
        <v>#REF!</v>
      </c>
      <c r="O29" s="32" t="e">
        <f>+'other  costs'!#REF!/$O$3</f>
        <v>#REF!</v>
      </c>
      <c r="P29" s="32" t="e">
        <f t="shared" si="12"/>
        <v>#REF!</v>
      </c>
      <c r="Q29" s="32">
        <v>0</v>
      </c>
      <c r="R29" s="149"/>
      <c r="S29" s="32" t="e">
        <f t="shared" si="15"/>
        <v>#REF!</v>
      </c>
      <c r="T29" s="32">
        <f t="shared" si="15"/>
        <v>0</v>
      </c>
      <c r="U29" s="149"/>
      <c r="V29" s="32" t="e">
        <f>+'other  costs'!#REF!/$O$3</f>
        <v>#REF!</v>
      </c>
      <c r="W29" s="32" t="e">
        <f>+'other  costs'!#REF!/$O$3</f>
        <v>#REF!</v>
      </c>
      <c r="X29" s="32" t="e">
        <f>+'other  costs'!#REF!/$O$3</f>
        <v>#REF!</v>
      </c>
      <c r="Y29" s="32" t="e">
        <f t="shared" si="13"/>
        <v>#REF!</v>
      </c>
      <c r="Z29" s="32" t="e">
        <f>+'other  costs'!#REF!/$O$3</f>
        <v>#REF!</v>
      </c>
      <c r="AA29" s="32" t="e">
        <f>+'other  costs'!#REF!/$O$3</f>
        <v>#REF!</v>
      </c>
      <c r="AB29" s="33" t="e">
        <f>+'other  costs'!#REF!/$O$3</f>
        <v>#REF!</v>
      </c>
      <c r="AC29" s="32" t="e">
        <f t="shared" si="14"/>
        <v>#REF!</v>
      </c>
      <c r="AD29" s="32" t="e">
        <f t="shared" si="16"/>
        <v>#REF!</v>
      </c>
      <c r="AE29" s="153"/>
      <c r="AF29" s="11"/>
      <c r="AH29" s="67"/>
    </row>
    <row r="30" spans="2:53" ht="12" customHeight="1">
      <c r="B30" s="6"/>
      <c r="C30" s="169" t="s">
        <v>62</v>
      </c>
      <c r="D30" s="31"/>
      <c r="E30" s="88" t="s">
        <v>121</v>
      </c>
      <c r="F30" s="64"/>
      <c r="G30" s="32">
        <f>+'other  costs'!F61/$O$3</f>
        <v>0.3</v>
      </c>
      <c r="H30" s="32">
        <f>+'other  costs'!G61/$O$3</f>
        <v>0</v>
      </c>
      <c r="I30" s="32">
        <f>+'other  costs'!H61/$O$3</f>
        <v>0</v>
      </c>
      <c r="J30" s="32">
        <f t="shared" si="11"/>
        <v>0.3</v>
      </c>
      <c r="K30" s="32">
        <v>0</v>
      </c>
      <c r="L30" s="149">
        <f>(K30-J30)/J30</f>
        <v>-1</v>
      </c>
      <c r="M30" s="32">
        <f>+'other  costs'!I61/$O$3</f>
        <v>0</v>
      </c>
      <c r="N30" s="32">
        <f>+'other  costs'!J61/$O$3</f>
        <v>0</v>
      </c>
      <c r="O30" s="32">
        <f>+'other  costs'!K61/$O$3</f>
        <v>0</v>
      </c>
      <c r="P30" s="32">
        <f t="shared" si="12"/>
        <v>0</v>
      </c>
      <c r="Q30" s="32">
        <v>0</v>
      </c>
      <c r="R30" s="149" t="e">
        <f>(Q30-P30)/P30</f>
        <v>#DIV/0!</v>
      </c>
      <c r="S30" s="32">
        <f t="shared" si="15"/>
        <v>0.3</v>
      </c>
      <c r="T30" s="32">
        <f t="shared" si="15"/>
        <v>0</v>
      </c>
      <c r="U30" s="149">
        <f>(T30-S30)/S30</f>
        <v>-1</v>
      </c>
      <c r="V30" s="32">
        <f>+'other  costs'!L61/$O$3</f>
        <v>0</v>
      </c>
      <c r="W30" s="32">
        <f>+'other  costs'!M61/$O$3</f>
        <v>0</v>
      </c>
      <c r="X30" s="32">
        <f>+'other  costs'!N61/$O$3</f>
        <v>0</v>
      </c>
      <c r="Y30" s="32">
        <f t="shared" si="13"/>
        <v>0</v>
      </c>
      <c r="Z30" s="32">
        <f>+'other  costs'!O61/$O$3</f>
        <v>0</v>
      </c>
      <c r="AA30" s="32">
        <f>+'other  costs'!P61/$O$3</f>
        <v>0</v>
      </c>
      <c r="AB30" s="33">
        <f>+'other  costs'!Q61/$O$3</f>
        <v>0</v>
      </c>
      <c r="AC30" s="32">
        <f t="shared" si="14"/>
        <v>0</v>
      </c>
      <c r="AD30" s="32">
        <f t="shared" si="16"/>
        <v>0</v>
      </c>
      <c r="AE30" s="153"/>
      <c r="AF30" s="11"/>
      <c r="AH30" s="67"/>
    </row>
    <row r="31" spans="2:53" ht="12" customHeight="1">
      <c r="B31" s="6"/>
      <c r="C31" s="169" t="s">
        <v>63</v>
      </c>
      <c r="D31" s="31"/>
      <c r="E31" s="88" t="s">
        <v>122</v>
      </c>
      <c r="F31" s="64"/>
      <c r="G31" s="32">
        <f>(+'other  costs'!F32+'other  costs'!F39)/$O$3</f>
        <v>1.5</v>
      </c>
      <c r="H31" s="32">
        <f>(+'other  costs'!G32+'other  costs'!G39)/$O$3</f>
        <v>0</v>
      </c>
      <c r="I31" s="32">
        <f>(+'other  costs'!H32+'other  costs'!H39)/$O$3</f>
        <v>0</v>
      </c>
      <c r="J31" s="32">
        <f t="shared" si="11"/>
        <v>1.5</v>
      </c>
      <c r="K31" s="32">
        <v>0</v>
      </c>
      <c r="L31" s="149">
        <f>(K31-J31)/J31</f>
        <v>-1</v>
      </c>
      <c r="M31" s="32">
        <f>(+'other  costs'!I32+'other  costs'!I39)/$O$3</f>
        <v>0</v>
      </c>
      <c r="N31" s="32">
        <f>(+'other  costs'!J32+'other  costs'!J39)/$O$3</f>
        <v>0</v>
      </c>
      <c r="O31" s="32">
        <f>(+'other  costs'!K32+'other  costs'!K39)/$O$3</f>
        <v>0</v>
      </c>
      <c r="P31" s="32">
        <f t="shared" si="12"/>
        <v>0</v>
      </c>
      <c r="Q31" s="32">
        <v>0</v>
      </c>
      <c r="R31" s="149" t="e">
        <f>(Q31-P31)/P31</f>
        <v>#DIV/0!</v>
      </c>
      <c r="S31" s="32">
        <f t="shared" si="15"/>
        <v>1.5</v>
      </c>
      <c r="T31" s="32">
        <f t="shared" si="15"/>
        <v>0</v>
      </c>
      <c r="U31" s="149">
        <f>(T31-S31)/S31</f>
        <v>-1</v>
      </c>
      <c r="V31" s="32">
        <f>(+'other  costs'!L32+'other  costs'!L39)/$O$3</f>
        <v>0</v>
      </c>
      <c r="W31" s="32">
        <f>(+'other  costs'!M32+'other  costs'!M39)/$O$3</f>
        <v>0</v>
      </c>
      <c r="X31" s="32">
        <f>(+'other  costs'!N32+'other  costs'!N39)/$O$3</f>
        <v>0</v>
      </c>
      <c r="Y31" s="32">
        <f t="shared" si="13"/>
        <v>0</v>
      </c>
      <c r="Z31" s="32">
        <f>(+'other  costs'!O32+'other  costs'!O39)/$O$3</f>
        <v>0</v>
      </c>
      <c r="AA31" s="32">
        <f>(+'other  costs'!P32+'other  costs'!P39)/$O$3</f>
        <v>0</v>
      </c>
      <c r="AB31" s="33">
        <f>(+'other  costs'!Q32+'other  costs'!Q39)/$O$3</f>
        <v>0</v>
      </c>
      <c r="AC31" s="32">
        <f t="shared" si="14"/>
        <v>0</v>
      </c>
      <c r="AD31" s="32">
        <f t="shared" si="16"/>
        <v>0</v>
      </c>
      <c r="AE31" s="153"/>
      <c r="AF31" s="11"/>
      <c r="AH31" s="67"/>
    </row>
    <row r="32" spans="2:53" ht="12" customHeight="1">
      <c r="B32" s="6"/>
      <c r="C32" s="157" t="s">
        <v>39</v>
      </c>
      <c r="D32" s="31"/>
      <c r="E32" s="49" t="s">
        <v>123</v>
      </c>
      <c r="F32" s="64"/>
      <c r="G32" s="32" t="e">
        <f>+#REF!</f>
        <v>#REF!</v>
      </c>
      <c r="H32" s="32" t="e">
        <f>+#REF!</f>
        <v>#REF!</v>
      </c>
      <c r="I32" s="32" t="e">
        <f>+#REF!</f>
        <v>#REF!</v>
      </c>
      <c r="J32" s="32" t="e">
        <f t="shared" si="11"/>
        <v>#REF!</v>
      </c>
      <c r="K32" s="32">
        <v>0</v>
      </c>
      <c r="L32" s="149" t="e">
        <f>(K32-J32)/J32</f>
        <v>#REF!</v>
      </c>
      <c r="M32" s="32" t="e">
        <f>+#REF!</f>
        <v>#REF!</v>
      </c>
      <c r="N32" s="32" t="e">
        <f>+#REF!</f>
        <v>#REF!</v>
      </c>
      <c r="O32" s="32" t="e">
        <f>+#REF!</f>
        <v>#REF!</v>
      </c>
      <c r="P32" s="32" t="e">
        <f t="shared" si="12"/>
        <v>#REF!</v>
      </c>
      <c r="Q32" s="32">
        <v>0</v>
      </c>
      <c r="R32" s="149" t="e">
        <f>(Q32-P32)/P32</f>
        <v>#REF!</v>
      </c>
      <c r="S32" s="32" t="e">
        <f t="shared" si="15"/>
        <v>#REF!</v>
      </c>
      <c r="T32" s="32">
        <f t="shared" si="15"/>
        <v>0</v>
      </c>
      <c r="U32" s="149" t="e">
        <f>(T32-S32)/S32</f>
        <v>#REF!</v>
      </c>
      <c r="V32" s="32" t="e">
        <f>+#REF!</f>
        <v>#REF!</v>
      </c>
      <c r="W32" s="32" t="e">
        <f>+#REF!</f>
        <v>#REF!</v>
      </c>
      <c r="X32" s="32" t="e">
        <f>+#REF!</f>
        <v>#REF!</v>
      </c>
      <c r="Y32" s="32" t="e">
        <f t="shared" si="13"/>
        <v>#REF!</v>
      </c>
      <c r="Z32" s="32" t="e">
        <f>+#REF!</f>
        <v>#REF!</v>
      </c>
      <c r="AA32" s="32" t="e">
        <f>+#REF!</f>
        <v>#REF!</v>
      </c>
      <c r="AB32" s="33" t="e">
        <f>+#REF!</f>
        <v>#REF!</v>
      </c>
      <c r="AC32" s="32" t="e">
        <f t="shared" si="14"/>
        <v>#REF!</v>
      </c>
      <c r="AD32" s="32" t="e">
        <f t="shared" si="16"/>
        <v>#REF!</v>
      </c>
      <c r="AE32" s="153"/>
      <c r="AF32" s="11"/>
      <c r="AH32" s="67"/>
    </row>
    <row r="33" spans="2:34" ht="12" customHeight="1">
      <c r="B33" s="6"/>
      <c r="C33" s="169" t="s">
        <v>90</v>
      </c>
      <c r="D33" s="31"/>
      <c r="E33" s="88" t="s">
        <v>124</v>
      </c>
      <c r="F33" s="64"/>
      <c r="G33" s="32">
        <f>+'Development Costs'!G65</f>
        <v>0</v>
      </c>
      <c r="H33" s="32">
        <f>+'Development Costs'!H65</f>
        <v>0</v>
      </c>
      <c r="I33" s="32">
        <f>+'Development Costs'!I65</f>
        <v>4</v>
      </c>
      <c r="J33" s="32">
        <f t="shared" si="11"/>
        <v>4</v>
      </c>
      <c r="K33" s="32">
        <v>0</v>
      </c>
      <c r="L33" s="149">
        <f>(K33-J33)/J33</f>
        <v>-1</v>
      </c>
      <c r="M33" s="32">
        <f>+'Development Costs'!J65</f>
        <v>0</v>
      </c>
      <c r="N33" s="32">
        <f>+'Development Costs'!K65</f>
        <v>0</v>
      </c>
      <c r="O33" s="32">
        <f>+'Development Costs'!L65</f>
        <v>0</v>
      </c>
      <c r="P33" s="32">
        <f t="shared" si="12"/>
        <v>0</v>
      </c>
      <c r="Q33" s="32">
        <v>0</v>
      </c>
      <c r="R33" s="149" t="e">
        <f>(Q33-P33)/P33</f>
        <v>#DIV/0!</v>
      </c>
      <c r="S33" s="32">
        <f t="shared" si="15"/>
        <v>4</v>
      </c>
      <c r="T33" s="32">
        <f t="shared" si="15"/>
        <v>0</v>
      </c>
      <c r="U33" s="149">
        <f>(T33-S33)/S33</f>
        <v>-1</v>
      </c>
      <c r="V33" s="32">
        <f>+'Development Costs'!M65</f>
        <v>0</v>
      </c>
      <c r="W33" s="32">
        <f>+'Development Costs'!N65</f>
        <v>0</v>
      </c>
      <c r="X33" s="32">
        <f>+'Development Costs'!O65</f>
        <v>0</v>
      </c>
      <c r="Y33" s="32">
        <f t="shared" si="13"/>
        <v>0</v>
      </c>
      <c r="Z33" s="32">
        <f>+'Development Costs'!P65</f>
        <v>0</v>
      </c>
      <c r="AA33" s="32">
        <f>+'Development Costs'!Q65</f>
        <v>0</v>
      </c>
      <c r="AB33" s="33">
        <f>+'Development Costs'!R65</f>
        <v>0</v>
      </c>
      <c r="AC33" s="32">
        <f t="shared" si="14"/>
        <v>0</v>
      </c>
      <c r="AD33" s="32">
        <f t="shared" si="16"/>
        <v>0</v>
      </c>
      <c r="AE33" s="153"/>
      <c r="AF33" s="11"/>
      <c r="AH33" s="67"/>
    </row>
    <row r="34" spans="2:34" ht="12" customHeight="1">
      <c r="B34" s="6"/>
      <c r="C34" s="169" t="s">
        <v>64</v>
      </c>
      <c r="D34" s="31"/>
      <c r="E34" s="88" t="s">
        <v>125</v>
      </c>
      <c r="F34" s="64"/>
      <c r="G34" s="32">
        <f>('other  costs'!F52+'other  costs'!F46)/1000</f>
        <v>0.7</v>
      </c>
      <c r="H34" s="32">
        <f>('other  costs'!G52+'other  costs'!G46)/1000</f>
        <v>0</v>
      </c>
      <c r="I34" s="32">
        <f>('other  costs'!H52+'other  costs'!H46)/1000</f>
        <v>0</v>
      </c>
      <c r="J34" s="32">
        <f t="shared" si="11"/>
        <v>0.7</v>
      </c>
      <c r="K34" s="32">
        <v>0</v>
      </c>
      <c r="L34" s="149">
        <f>(K34-J34)/J34</f>
        <v>-1</v>
      </c>
      <c r="M34" s="32">
        <f>('other  costs'!L52+'other  costs'!L46)/1000</f>
        <v>0</v>
      </c>
      <c r="N34" s="32">
        <f>('other  costs'!M52+'other  costs'!M46)/1000</f>
        <v>0</v>
      </c>
      <c r="O34" s="32">
        <f>('other  costs'!N52+'other  costs'!N46)/1000</f>
        <v>0</v>
      </c>
      <c r="P34" s="32">
        <f t="shared" si="12"/>
        <v>0</v>
      </c>
      <c r="Q34" s="32">
        <v>0</v>
      </c>
      <c r="R34" s="149" t="e">
        <f>(Q34-P34)/P34</f>
        <v>#DIV/0!</v>
      </c>
      <c r="S34" s="32">
        <f t="shared" si="15"/>
        <v>0.7</v>
      </c>
      <c r="T34" s="32">
        <f t="shared" si="15"/>
        <v>0</v>
      </c>
      <c r="U34" s="149">
        <f>(T34-S34)/S34</f>
        <v>-1</v>
      </c>
      <c r="V34" s="32" t="e">
        <f>('other  costs'!#REF!+'other  costs'!#REF!)/1000</f>
        <v>#REF!</v>
      </c>
      <c r="W34" s="32" t="e">
        <f>('other  costs'!#REF!+'other  costs'!#REF!)/1000</f>
        <v>#REF!</v>
      </c>
      <c r="X34" s="32" t="e">
        <f>('other  costs'!#REF!+'other  costs'!#REF!)/1000</f>
        <v>#REF!</v>
      </c>
      <c r="Y34" s="32" t="e">
        <f t="shared" si="13"/>
        <v>#REF!</v>
      </c>
      <c r="Z34" s="193">
        <v>1.2</v>
      </c>
      <c r="AA34" s="194">
        <v>1.2</v>
      </c>
      <c r="AB34" s="194">
        <v>0.3</v>
      </c>
      <c r="AC34" s="32">
        <f t="shared" si="14"/>
        <v>2.6999999999999997</v>
      </c>
      <c r="AD34" s="32" t="e">
        <f t="shared" si="16"/>
        <v>#REF!</v>
      </c>
      <c r="AE34" s="153"/>
      <c r="AF34" s="11"/>
      <c r="AH34" s="67"/>
    </row>
    <row r="35" spans="2:34" s="60" customFormat="1">
      <c r="B35" s="54"/>
      <c r="C35" s="172"/>
      <c r="D35" s="102"/>
      <c r="E35" s="99"/>
      <c r="F35" s="100"/>
      <c r="L35" s="173"/>
      <c r="R35" s="173"/>
      <c r="T35" s="174"/>
      <c r="U35" s="173"/>
      <c r="AE35" s="172"/>
      <c r="AF35" s="76"/>
    </row>
    <row r="36" spans="2:34" s="60" customFormat="1" ht="14" customHeight="1">
      <c r="B36" s="54"/>
      <c r="C36" s="55" t="s">
        <v>86</v>
      </c>
      <c r="D36" s="7"/>
      <c r="E36" s="55" t="s">
        <v>108</v>
      </c>
      <c r="F36" s="27"/>
      <c r="G36" s="56" t="e">
        <f>+G18-G19-G25-G27</f>
        <v>#REF!</v>
      </c>
      <c r="H36" s="56" t="e">
        <f t="shared" ref="H36:AB36" si="17">+H18-H19-H25-H27</f>
        <v>#REF!</v>
      </c>
      <c r="I36" s="56" t="e">
        <f t="shared" si="17"/>
        <v>#REF!</v>
      </c>
      <c r="J36" s="56" t="e">
        <f t="shared" ref="J36:J42" si="18">SUM(G36:I36)</f>
        <v>#REF!</v>
      </c>
      <c r="K36" s="56">
        <f>+K18-K19-K25-K27</f>
        <v>0</v>
      </c>
      <c r="L36" s="164" t="e">
        <f>(K36-J36)/J36</f>
        <v>#REF!</v>
      </c>
      <c r="M36" s="56" t="e">
        <f t="shared" si="17"/>
        <v>#REF!</v>
      </c>
      <c r="N36" s="56" t="e">
        <f t="shared" si="17"/>
        <v>#REF!</v>
      </c>
      <c r="O36" s="56" t="e">
        <f t="shared" si="17"/>
        <v>#REF!</v>
      </c>
      <c r="P36" s="56" t="e">
        <f t="shared" ref="P36:P42" si="19">SUM(M36:O36)</f>
        <v>#REF!</v>
      </c>
      <c r="Q36" s="56">
        <f>+Q18-Q19-Q25-Q27</f>
        <v>-0.04</v>
      </c>
      <c r="R36" s="164" t="e">
        <f>(Q36-P36)/P36</f>
        <v>#REF!</v>
      </c>
      <c r="S36" s="56" t="e">
        <f>+S18-S19-S25-S27</f>
        <v>#REF!</v>
      </c>
      <c r="T36" s="56">
        <f>+T18-T19-T25-T27</f>
        <v>-0.04</v>
      </c>
      <c r="U36" s="164" t="e">
        <f>(T36-S36)/S36</f>
        <v>#REF!</v>
      </c>
      <c r="V36" s="56" t="e">
        <f t="shared" si="17"/>
        <v>#REF!</v>
      </c>
      <c r="W36" s="56" t="e">
        <f t="shared" si="17"/>
        <v>#REF!</v>
      </c>
      <c r="X36" s="56" t="e">
        <f t="shared" si="17"/>
        <v>#REF!</v>
      </c>
      <c r="Y36" s="56" t="e">
        <f t="shared" ref="Y36:Y42" si="20">SUM(V36:X36)</f>
        <v>#REF!</v>
      </c>
      <c r="Z36" s="56" t="e">
        <f t="shared" si="17"/>
        <v>#REF!</v>
      </c>
      <c r="AA36" s="56" t="e">
        <f t="shared" si="17"/>
        <v>#REF!</v>
      </c>
      <c r="AB36" s="57" t="e">
        <f t="shared" si="17"/>
        <v>#REF!</v>
      </c>
      <c r="AC36" s="56" t="e">
        <f t="shared" ref="AC36:AC42" si="21">SUM(Z36:AB36)</f>
        <v>#REF!</v>
      </c>
      <c r="AD36" s="56" t="e">
        <f>+AD18-AD19-AD25-AD27</f>
        <v>#REF!</v>
      </c>
      <c r="AE36" s="7"/>
      <c r="AF36" s="76"/>
    </row>
    <row r="37" spans="2:34" ht="12.75" customHeight="1">
      <c r="B37" s="6"/>
      <c r="C37" s="156" t="s">
        <v>65</v>
      </c>
      <c r="D37" s="31"/>
      <c r="E37" s="48" t="s">
        <v>126</v>
      </c>
      <c r="F37" s="31"/>
      <c r="G37" s="105"/>
      <c r="H37" s="105"/>
      <c r="I37" s="105"/>
      <c r="J37" s="115">
        <f t="shared" si="18"/>
        <v>0</v>
      </c>
      <c r="K37" s="105"/>
      <c r="L37" s="175"/>
      <c r="M37" s="105"/>
      <c r="N37" s="105"/>
      <c r="O37" s="105"/>
      <c r="P37" s="115">
        <f t="shared" si="19"/>
        <v>0</v>
      </c>
      <c r="Q37" s="115"/>
      <c r="R37" s="175"/>
      <c r="S37" s="32">
        <f t="shared" ref="S37:T41" si="22">+P37+J37</f>
        <v>0</v>
      </c>
      <c r="T37" s="32">
        <f t="shared" si="22"/>
        <v>0</v>
      </c>
      <c r="U37" s="175"/>
      <c r="V37" s="115"/>
      <c r="W37" s="115"/>
      <c r="X37" s="115"/>
      <c r="Y37" s="115">
        <f t="shared" si="20"/>
        <v>0</v>
      </c>
      <c r="Z37" s="115"/>
      <c r="AA37" s="115"/>
      <c r="AB37" s="116"/>
      <c r="AC37" s="115">
        <f t="shared" si="21"/>
        <v>0</v>
      </c>
      <c r="AD37" s="32">
        <f>+T37+Y37+AC37</f>
        <v>0</v>
      </c>
      <c r="AE37" s="7"/>
      <c r="AF37" s="11"/>
    </row>
    <row r="38" spans="2:34" ht="12.75" customHeight="1">
      <c r="B38" s="6"/>
      <c r="C38" s="169" t="s">
        <v>66</v>
      </c>
      <c r="D38" s="31"/>
      <c r="E38" s="88" t="s">
        <v>127</v>
      </c>
      <c r="F38" s="31"/>
      <c r="G38" s="28"/>
      <c r="H38" s="28"/>
      <c r="I38" s="28"/>
      <c r="J38" s="32">
        <f t="shared" si="18"/>
        <v>0</v>
      </c>
      <c r="K38" s="28"/>
      <c r="L38" s="149"/>
      <c r="M38" s="28"/>
      <c r="N38" s="28"/>
      <c r="O38" s="28"/>
      <c r="P38" s="32">
        <f t="shared" si="19"/>
        <v>0</v>
      </c>
      <c r="Q38" s="32"/>
      <c r="R38" s="149"/>
      <c r="S38" s="32">
        <f t="shared" si="22"/>
        <v>0</v>
      </c>
      <c r="T38" s="32">
        <f t="shared" si="22"/>
        <v>0</v>
      </c>
      <c r="U38" s="149"/>
      <c r="V38" s="32"/>
      <c r="W38" s="32"/>
      <c r="X38" s="32"/>
      <c r="Y38" s="32">
        <f t="shared" si="20"/>
        <v>0</v>
      </c>
      <c r="Z38" s="32"/>
      <c r="AA38" s="32"/>
      <c r="AB38" s="33"/>
      <c r="AC38" s="32">
        <f t="shared" si="21"/>
        <v>0</v>
      </c>
      <c r="AD38" s="32">
        <f>+T38+Y38+AC38</f>
        <v>0</v>
      </c>
      <c r="AE38" s="7"/>
      <c r="AF38" s="11"/>
    </row>
    <row r="39" spans="2:34" ht="12.75" customHeight="1">
      <c r="B39" s="6"/>
      <c r="C39" s="169" t="s">
        <v>67</v>
      </c>
      <c r="D39" s="31"/>
      <c r="E39" s="88" t="s">
        <v>128</v>
      </c>
      <c r="F39" s="31"/>
      <c r="G39" s="28"/>
      <c r="H39" s="28"/>
      <c r="I39" s="28"/>
      <c r="J39" s="32">
        <f t="shared" si="18"/>
        <v>0</v>
      </c>
      <c r="K39" s="32"/>
      <c r="L39" s="149">
        <v>1</v>
      </c>
      <c r="M39" s="28"/>
      <c r="N39" s="28"/>
      <c r="O39" s="28"/>
      <c r="P39" s="32">
        <f t="shared" si="19"/>
        <v>0</v>
      </c>
      <c r="Q39" s="32"/>
      <c r="R39" s="149">
        <v>1</v>
      </c>
      <c r="S39" s="32">
        <f t="shared" si="22"/>
        <v>0</v>
      </c>
      <c r="T39" s="32">
        <f t="shared" si="22"/>
        <v>0</v>
      </c>
      <c r="U39" s="149"/>
      <c r="V39" s="32"/>
      <c r="W39" s="32"/>
      <c r="X39" s="32"/>
      <c r="Y39" s="32">
        <f t="shared" si="20"/>
        <v>0</v>
      </c>
      <c r="Z39" s="32"/>
      <c r="AA39" s="32"/>
      <c r="AB39" s="33"/>
      <c r="AC39" s="32">
        <f t="shared" si="21"/>
        <v>0</v>
      </c>
      <c r="AD39" s="32">
        <f>+T39+Y39+AC39</f>
        <v>0</v>
      </c>
      <c r="AE39" s="7"/>
      <c r="AF39" s="11"/>
    </row>
    <row r="40" spans="2:34" ht="12.75" customHeight="1">
      <c r="B40" s="6"/>
      <c r="C40" s="169" t="s">
        <v>68</v>
      </c>
      <c r="D40" s="31"/>
      <c r="E40" s="88" t="s">
        <v>129</v>
      </c>
      <c r="F40" s="31"/>
      <c r="G40" s="28"/>
      <c r="H40" s="28"/>
      <c r="I40" s="28"/>
      <c r="J40" s="32">
        <f t="shared" si="18"/>
        <v>0</v>
      </c>
      <c r="K40" s="28"/>
      <c r="L40" s="149"/>
      <c r="M40" s="28"/>
      <c r="N40" s="28"/>
      <c r="O40" s="28"/>
      <c r="P40" s="32">
        <f t="shared" si="19"/>
        <v>0</v>
      </c>
      <c r="Q40" s="32"/>
      <c r="R40" s="149"/>
      <c r="S40" s="32">
        <f t="shared" si="22"/>
        <v>0</v>
      </c>
      <c r="T40" s="32">
        <f t="shared" si="22"/>
        <v>0</v>
      </c>
      <c r="U40" s="149"/>
      <c r="V40" s="32"/>
      <c r="W40" s="32"/>
      <c r="X40" s="32"/>
      <c r="Y40" s="32">
        <f t="shared" si="20"/>
        <v>0</v>
      </c>
      <c r="Z40" s="32"/>
      <c r="AA40" s="32"/>
      <c r="AB40" s="33"/>
      <c r="AC40" s="32">
        <f t="shared" si="21"/>
        <v>0</v>
      </c>
      <c r="AD40" s="32">
        <f>+T40+Y40+AC40</f>
        <v>0</v>
      </c>
      <c r="AE40" s="7"/>
      <c r="AF40" s="11"/>
    </row>
    <row r="41" spans="2:34" ht="12" customHeight="1">
      <c r="B41" s="6"/>
      <c r="C41" s="169" t="s">
        <v>69</v>
      </c>
      <c r="D41" s="31"/>
      <c r="E41" s="88" t="s">
        <v>130</v>
      </c>
      <c r="F41" s="64"/>
      <c r="G41" s="32">
        <f>+Interest_Redemption!G38</f>
        <v>8.2916666666666666E-2</v>
      </c>
      <c r="H41" s="32">
        <f>+Interest_Redemption!H38</f>
        <v>8.2083333333333328E-2</v>
      </c>
      <c r="I41" s="32">
        <f>+Interest_Redemption!I38</f>
        <v>8.1250000000000003E-2</v>
      </c>
      <c r="J41" s="32">
        <f t="shared" si="18"/>
        <v>0.24624999999999997</v>
      </c>
      <c r="K41" s="28"/>
      <c r="L41" s="149"/>
      <c r="M41" s="32">
        <f>+Interest_Redemption!J38</f>
        <v>8.0416666666666664E-2</v>
      </c>
      <c r="N41" s="32">
        <f>+Interest_Redemption!K38</f>
        <v>7.9583333333333339E-2</v>
      </c>
      <c r="O41" s="32">
        <f>+Interest_Redemption!L38</f>
        <v>7.8750000000000001E-2</v>
      </c>
      <c r="P41" s="32">
        <f t="shared" si="19"/>
        <v>0.23875000000000002</v>
      </c>
      <c r="Q41" s="32">
        <v>4.8500000000000001E-2</v>
      </c>
      <c r="R41" s="149"/>
      <c r="S41" s="32">
        <f t="shared" si="22"/>
        <v>0.48499999999999999</v>
      </c>
      <c r="T41" s="32">
        <f t="shared" si="22"/>
        <v>4.8500000000000001E-2</v>
      </c>
      <c r="U41" s="149"/>
      <c r="V41" s="32">
        <f>+Interest_Redemption!M38</f>
        <v>7.7916666666666676E-2</v>
      </c>
      <c r="W41" s="32">
        <f>+Interest_Redemption!N38</f>
        <v>7.7083333333333337E-2</v>
      </c>
      <c r="X41" s="32">
        <f>+Interest_Redemption!O38</f>
        <v>7.6250000000000012E-2</v>
      </c>
      <c r="Y41" s="32">
        <f t="shared" si="20"/>
        <v>0.23125000000000004</v>
      </c>
      <c r="Z41" s="32">
        <f>+Interest_Redemption!P38</f>
        <v>7.541666666666666E-2</v>
      </c>
      <c r="AA41" s="32">
        <f>+Interest_Redemption!Q38</f>
        <v>7.4583333333333335E-2</v>
      </c>
      <c r="AB41" s="33">
        <f>+Interest_Redemption!R38</f>
        <v>7.3749999999999996E-2</v>
      </c>
      <c r="AC41" s="32">
        <f t="shared" si="21"/>
        <v>0.22375</v>
      </c>
      <c r="AD41" s="32">
        <f>+T41+Y41+AC41</f>
        <v>0.50350000000000006</v>
      </c>
      <c r="AE41" s="153"/>
      <c r="AF41" s="11"/>
      <c r="AH41" s="67"/>
    </row>
    <row r="42" spans="2:34" ht="12.75" customHeight="1">
      <c r="B42" s="6"/>
      <c r="C42" s="55" t="s">
        <v>70</v>
      </c>
      <c r="E42" s="55" t="s">
        <v>131</v>
      </c>
      <c r="F42" s="27"/>
      <c r="G42" s="56">
        <f>+G37+G38+G39+-G40-G41</f>
        <v>-8.2916666666666666E-2</v>
      </c>
      <c r="H42" s="56">
        <f t="shared" ref="H42:AB42" si="23">+H37+H38+H39+-H40-H41</f>
        <v>-8.2083333333333328E-2</v>
      </c>
      <c r="I42" s="56">
        <f t="shared" si="23"/>
        <v>-8.1250000000000003E-2</v>
      </c>
      <c r="J42" s="56">
        <f t="shared" si="18"/>
        <v>-0.24624999999999997</v>
      </c>
      <c r="K42" s="56">
        <f>+K37+K38+K39+-K40-K41</f>
        <v>0</v>
      </c>
      <c r="L42" s="164"/>
      <c r="M42" s="56">
        <f t="shared" si="23"/>
        <v>-8.0416666666666664E-2</v>
      </c>
      <c r="N42" s="56">
        <f t="shared" si="23"/>
        <v>-7.9583333333333339E-2</v>
      </c>
      <c r="O42" s="56">
        <f t="shared" si="23"/>
        <v>-7.8750000000000001E-2</v>
      </c>
      <c r="P42" s="56">
        <f t="shared" si="19"/>
        <v>-0.23875000000000002</v>
      </c>
      <c r="Q42" s="56">
        <f>+Q37+Q38+Q39+-Q40-Q41</f>
        <v>-4.8500000000000001E-2</v>
      </c>
      <c r="R42" s="164"/>
      <c r="S42" s="56">
        <f>+S37+S38+S39+-S40-S41</f>
        <v>-0.48499999999999999</v>
      </c>
      <c r="T42" s="56">
        <f>+T37+T38+T39+-T40-T41</f>
        <v>-4.8500000000000001E-2</v>
      </c>
      <c r="U42" s="164"/>
      <c r="V42" s="56">
        <f t="shared" si="23"/>
        <v>-7.7916666666666676E-2</v>
      </c>
      <c r="W42" s="56">
        <f t="shared" si="23"/>
        <v>-7.7083333333333337E-2</v>
      </c>
      <c r="X42" s="56">
        <f t="shared" si="23"/>
        <v>-7.6250000000000012E-2</v>
      </c>
      <c r="Y42" s="56">
        <f t="shared" si="20"/>
        <v>-0.23125000000000004</v>
      </c>
      <c r="Z42" s="56">
        <f t="shared" si="23"/>
        <v>-7.541666666666666E-2</v>
      </c>
      <c r="AA42" s="56">
        <f t="shared" si="23"/>
        <v>-7.4583333333333335E-2</v>
      </c>
      <c r="AB42" s="57">
        <f t="shared" si="23"/>
        <v>-7.3749999999999996E-2</v>
      </c>
      <c r="AC42" s="56">
        <f t="shared" si="21"/>
        <v>-0.22375</v>
      </c>
      <c r="AD42" s="56">
        <f>+AD37+AD38+AD39+-AD40-AD41</f>
        <v>-0.50350000000000006</v>
      </c>
      <c r="AE42" s="7"/>
      <c r="AF42" s="11"/>
    </row>
    <row r="43" spans="2:34" ht="15" customHeight="1">
      <c r="B43" s="6"/>
      <c r="C43" s="13"/>
      <c r="D43" s="31"/>
      <c r="E43" s="112"/>
      <c r="F43" s="27"/>
      <c r="AE43" s="7"/>
      <c r="AF43" s="11"/>
    </row>
    <row r="44" spans="2:34" s="60" customFormat="1" ht="17" customHeight="1">
      <c r="B44" s="114"/>
      <c r="C44" s="55" t="s">
        <v>87</v>
      </c>
      <c r="D44" s="7"/>
      <c r="E44" s="55" t="s">
        <v>132</v>
      </c>
      <c r="F44" s="27"/>
      <c r="G44" s="56" t="e">
        <f>+G36+G42</f>
        <v>#REF!</v>
      </c>
      <c r="H44" s="56" t="e">
        <f t="shared" ref="H44:AB44" si="24">+H36+H42</f>
        <v>#REF!</v>
      </c>
      <c r="I44" s="56" t="e">
        <f t="shared" si="24"/>
        <v>#REF!</v>
      </c>
      <c r="J44" s="56" t="e">
        <f>SUM(G44:I44)</f>
        <v>#REF!</v>
      </c>
      <c r="K44" s="56">
        <f>+K36+K42</f>
        <v>0</v>
      </c>
      <c r="L44" s="164" t="e">
        <f>(K44-J44)/J44</f>
        <v>#REF!</v>
      </c>
      <c r="M44" s="56" t="e">
        <f t="shared" si="24"/>
        <v>#REF!</v>
      </c>
      <c r="N44" s="56" t="e">
        <f t="shared" si="24"/>
        <v>#REF!</v>
      </c>
      <c r="O44" s="56" t="e">
        <f t="shared" si="24"/>
        <v>#REF!</v>
      </c>
      <c r="P44" s="56" t="e">
        <f>SUM(M44:O44)</f>
        <v>#REF!</v>
      </c>
      <c r="Q44" s="56">
        <f>+Q36+Q42</f>
        <v>-8.8499999999999995E-2</v>
      </c>
      <c r="R44" s="164" t="e">
        <f>(Q44-P44)/P44</f>
        <v>#REF!</v>
      </c>
      <c r="S44" s="56" t="e">
        <f>+S36+S42</f>
        <v>#REF!</v>
      </c>
      <c r="T44" s="56">
        <f>+T36+T42</f>
        <v>-8.8499999999999995E-2</v>
      </c>
      <c r="U44" s="164" t="e">
        <f>(T44-S44)/S44</f>
        <v>#REF!</v>
      </c>
      <c r="V44" s="56" t="e">
        <f t="shared" si="24"/>
        <v>#REF!</v>
      </c>
      <c r="W44" s="56" t="e">
        <f t="shared" si="24"/>
        <v>#REF!</v>
      </c>
      <c r="X44" s="56" t="e">
        <f t="shared" si="24"/>
        <v>#REF!</v>
      </c>
      <c r="Y44" s="56" t="e">
        <f>SUM(V44:X44)</f>
        <v>#REF!</v>
      </c>
      <c r="Z44" s="56" t="e">
        <f t="shared" si="24"/>
        <v>#REF!</v>
      </c>
      <c r="AA44" s="56" t="e">
        <f t="shared" si="24"/>
        <v>#REF!</v>
      </c>
      <c r="AB44" s="57" t="e">
        <f t="shared" si="24"/>
        <v>#REF!</v>
      </c>
      <c r="AC44" s="56" t="e">
        <f>SUM(Z44:AB44)</f>
        <v>#REF!</v>
      </c>
      <c r="AD44" s="56" t="e">
        <f>+AD36+AD42</f>
        <v>#REF!</v>
      </c>
      <c r="AE44" s="7"/>
      <c r="AF44" s="76"/>
    </row>
    <row r="45" spans="2:34" ht="15.75" customHeight="1">
      <c r="B45" s="6"/>
      <c r="C45" s="156" t="s">
        <v>72</v>
      </c>
      <c r="D45" s="31"/>
      <c r="E45" s="48" t="s">
        <v>133</v>
      </c>
      <c r="F45" s="27"/>
      <c r="G45" s="115"/>
      <c r="H45" s="115"/>
      <c r="I45" s="115"/>
      <c r="J45" s="115">
        <f>SUM(G45:I45)</f>
        <v>0</v>
      </c>
      <c r="K45" s="115"/>
      <c r="L45" s="175"/>
      <c r="M45" s="115"/>
      <c r="N45" s="115"/>
      <c r="O45" s="115"/>
      <c r="P45" s="115">
        <f>SUM(M45:O45)</f>
        <v>0</v>
      </c>
      <c r="Q45" s="115"/>
      <c r="R45" s="175"/>
      <c r="S45" s="32">
        <f>+P45+J45</f>
        <v>0</v>
      </c>
      <c r="T45" s="32">
        <f>+Q45+K45</f>
        <v>0</v>
      </c>
      <c r="U45" s="175"/>
      <c r="V45" s="115"/>
      <c r="W45" s="115"/>
      <c r="X45" s="115"/>
      <c r="Y45" s="115">
        <f>SUM(V45:X45)</f>
        <v>0</v>
      </c>
      <c r="Z45" s="115"/>
      <c r="AA45" s="115"/>
      <c r="AB45" s="116"/>
      <c r="AC45" s="115">
        <f>SUM(Z45:AB45)</f>
        <v>0</v>
      </c>
      <c r="AD45" s="32">
        <f>+T45+Y45+AC45</f>
        <v>0</v>
      </c>
      <c r="AE45" s="7"/>
      <c r="AF45" s="11"/>
    </row>
    <row r="46" spans="2:34" ht="12.75" customHeight="1">
      <c r="B46" s="6"/>
      <c r="C46" s="158" t="s">
        <v>71</v>
      </c>
      <c r="D46" s="31"/>
      <c r="E46" s="52" t="s">
        <v>134</v>
      </c>
      <c r="F46" s="27"/>
      <c r="G46" s="118"/>
      <c r="H46" s="118"/>
      <c r="I46" s="118"/>
      <c r="J46" s="118">
        <f>SUM(G46:I46)</f>
        <v>0</v>
      </c>
      <c r="K46" s="118"/>
      <c r="L46" s="176"/>
      <c r="M46" s="118"/>
      <c r="N46" s="118"/>
      <c r="O46" s="118"/>
      <c r="P46" s="118">
        <f>SUM(M46:O46)</f>
        <v>0</v>
      </c>
      <c r="Q46" s="118"/>
      <c r="R46" s="176"/>
      <c r="S46" s="32">
        <f>+P46+J46</f>
        <v>0</v>
      </c>
      <c r="T46" s="32">
        <f>+Q46+K46</f>
        <v>0</v>
      </c>
      <c r="U46" s="176"/>
      <c r="V46" s="118"/>
      <c r="W46" s="118"/>
      <c r="X46" s="118"/>
      <c r="Y46" s="118">
        <f>SUM(V46:X46)</f>
        <v>0</v>
      </c>
      <c r="Z46" s="118"/>
      <c r="AA46" s="118"/>
      <c r="AB46" s="95"/>
      <c r="AC46" s="118">
        <f>SUM(Z46:AB46)</f>
        <v>0</v>
      </c>
      <c r="AD46" s="32">
        <f>+T46+Y46+AC46</f>
        <v>0</v>
      </c>
      <c r="AE46" s="7"/>
      <c r="AF46" s="11"/>
    </row>
    <row r="47" spans="2:34" ht="14" customHeight="1">
      <c r="B47" s="6"/>
      <c r="C47" s="55" t="s">
        <v>73</v>
      </c>
      <c r="E47" s="55" t="s">
        <v>135</v>
      </c>
      <c r="F47" s="27"/>
      <c r="G47" s="56">
        <f>+G45-G46</f>
        <v>0</v>
      </c>
      <c r="H47" s="56">
        <f t="shared" ref="H47:AB47" si="25">+H45-H46</f>
        <v>0</v>
      </c>
      <c r="I47" s="56">
        <f t="shared" si="25"/>
        <v>0</v>
      </c>
      <c r="J47" s="56">
        <f>SUM(G47:I47)</f>
        <v>0</v>
      </c>
      <c r="K47" s="56">
        <f>+K45-K46</f>
        <v>0</v>
      </c>
      <c r="L47" s="160"/>
      <c r="M47" s="56">
        <f t="shared" si="25"/>
        <v>0</v>
      </c>
      <c r="N47" s="56">
        <f t="shared" si="25"/>
        <v>0</v>
      </c>
      <c r="O47" s="56">
        <f t="shared" si="25"/>
        <v>0</v>
      </c>
      <c r="P47" s="56">
        <f>SUM(M47:O47)</f>
        <v>0</v>
      </c>
      <c r="Q47" s="56">
        <f>+Q45-Q46</f>
        <v>0</v>
      </c>
      <c r="R47" s="160"/>
      <c r="S47" s="56">
        <f>+S45-S46</f>
        <v>0</v>
      </c>
      <c r="T47" s="56">
        <f>+T45-T46</f>
        <v>0</v>
      </c>
      <c r="U47" s="160"/>
      <c r="V47" s="56">
        <f t="shared" si="25"/>
        <v>0</v>
      </c>
      <c r="W47" s="56">
        <f t="shared" si="25"/>
        <v>0</v>
      </c>
      <c r="X47" s="56">
        <f t="shared" si="25"/>
        <v>0</v>
      </c>
      <c r="Y47" s="56">
        <f>SUM(V47:X47)</f>
        <v>0</v>
      </c>
      <c r="Z47" s="56">
        <f t="shared" si="25"/>
        <v>0</v>
      </c>
      <c r="AA47" s="56">
        <f t="shared" si="25"/>
        <v>0</v>
      </c>
      <c r="AB47" s="57">
        <f t="shared" si="25"/>
        <v>0</v>
      </c>
      <c r="AC47" s="56">
        <f>SUM(Z47:AB47)</f>
        <v>0</v>
      </c>
      <c r="AD47" s="56">
        <f>+AD45-AD46</f>
        <v>0</v>
      </c>
      <c r="AE47" s="7"/>
      <c r="AF47" s="11"/>
    </row>
    <row r="48" spans="2:34" ht="15" customHeight="1">
      <c r="B48" s="6"/>
      <c r="C48" s="13"/>
      <c r="D48" s="31"/>
      <c r="E48" s="112"/>
      <c r="F48" s="27"/>
      <c r="AE48" s="7"/>
      <c r="AF48" s="11"/>
    </row>
    <row r="49" spans="2:33" s="60" customFormat="1" ht="18" customHeight="1">
      <c r="B49" s="54"/>
      <c r="C49" s="55" t="s">
        <v>74</v>
      </c>
      <c r="D49" s="7"/>
      <c r="E49" s="55" t="s">
        <v>136</v>
      </c>
      <c r="F49" s="27"/>
      <c r="G49" s="56" t="e">
        <f>+G44+G47</f>
        <v>#REF!</v>
      </c>
      <c r="H49" s="56" t="e">
        <f t="shared" ref="H49:AB49" si="26">+H44+H47</f>
        <v>#REF!</v>
      </c>
      <c r="I49" s="56" t="e">
        <f t="shared" si="26"/>
        <v>#REF!</v>
      </c>
      <c r="J49" s="56" t="e">
        <f>SUM(G49:I49)</f>
        <v>#REF!</v>
      </c>
      <c r="K49" s="56">
        <f>+K44+K47</f>
        <v>0</v>
      </c>
      <c r="L49" s="164" t="e">
        <f>(K49-J49)/J49</f>
        <v>#REF!</v>
      </c>
      <c r="M49" s="56" t="e">
        <f t="shared" si="26"/>
        <v>#REF!</v>
      </c>
      <c r="N49" s="56" t="e">
        <f t="shared" si="26"/>
        <v>#REF!</v>
      </c>
      <c r="O49" s="56" t="e">
        <f t="shared" si="26"/>
        <v>#REF!</v>
      </c>
      <c r="P49" s="56" t="e">
        <f>SUM(M49:O49)</f>
        <v>#REF!</v>
      </c>
      <c r="Q49" s="56">
        <f>+Q44+Q47</f>
        <v>-8.8499999999999995E-2</v>
      </c>
      <c r="R49" s="164" t="e">
        <f>(Q49-P49)/P49</f>
        <v>#REF!</v>
      </c>
      <c r="S49" s="56" t="e">
        <f>+S44+S47</f>
        <v>#REF!</v>
      </c>
      <c r="T49" s="56">
        <f>+T44+T47</f>
        <v>-8.8499999999999995E-2</v>
      </c>
      <c r="U49" s="164" t="e">
        <f>(T49-S49)/S49</f>
        <v>#REF!</v>
      </c>
      <c r="V49" s="56" t="e">
        <f t="shared" si="26"/>
        <v>#REF!</v>
      </c>
      <c r="W49" s="56" t="e">
        <f t="shared" si="26"/>
        <v>#REF!</v>
      </c>
      <c r="X49" s="56" t="e">
        <f t="shared" si="26"/>
        <v>#REF!</v>
      </c>
      <c r="Y49" s="56" t="e">
        <f>SUM(V49:X49)</f>
        <v>#REF!</v>
      </c>
      <c r="Z49" s="56" t="e">
        <f t="shared" si="26"/>
        <v>#REF!</v>
      </c>
      <c r="AA49" s="56" t="e">
        <f t="shared" si="26"/>
        <v>#REF!</v>
      </c>
      <c r="AB49" s="57" t="e">
        <f t="shared" si="26"/>
        <v>#REF!</v>
      </c>
      <c r="AC49" s="56" t="e">
        <f>SUM(Z49:AB49)</f>
        <v>#REF!</v>
      </c>
      <c r="AD49" s="56" t="e">
        <f>+AD44+AD47</f>
        <v>#REF!</v>
      </c>
      <c r="AE49" s="7"/>
      <c r="AF49" s="76"/>
    </row>
    <row r="50" spans="2:33">
      <c r="B50" s="121"/>
      <c r="C50" s="122"/>
      <c r="D50" s="122"/>
      <c r="E50" s="122"/>
      <c r="F50" s="123"/>
      <c r="G50" s="123"/>
      <c r="H50" s="123"/>
      <c r="I50" s="123"/>
      <c r="J50" s="123"/>
      <c r="K50" s="123"/>
      <c r="L50" s="177"/>
      <c r="M50" s="123"/>
      <c r="N50" s="123"/>
      <c r="O50" s="123"/>
      <c r="P50" s="123"/>
      <c r="Q50" s="123"/>
      <c r="R50" s="177"/>
      <c r="S50" s="123"/>
      <c r="T50" s="178"/>
      <c r="U50" s="177"/>
      <c r="V50" s="123"/>
      <c r="W50" s="123"/>
      <c r="X50" s="123"/>
      <c r="Y50" s="123"/>
      <c r="Z50" s="123"/>
      <c r="AA50" s="123"/>
      <c r="AB50" s="123"/>
      <c r="AC50" s="123"/>
      <c r="AD50" s="123"/>
      <c r="AE50" s="123"/>
      <c r="AF50" s="125"/>
    </row>
    <row r="51" spans="2:33">
      <c r="D51" s="126"/>
    </row>
    <row r="52" spans="2:33" ht="12.75" customHeight="1">
      <c r="F52" s="72"/>
      <c r="G52" s="72"/>
      <c r="H52" s="72"/>
      <c r="I52" s="72"/>
      <c r="J52" s="72"/>
      <c r="K52" s="72"/>
      <c r="M52" s="72"/>
      <c r="N52" s="72"/>
      <c r="O52" s="72"/>
      <c r="P52" s="72"/>
      <c r="Q52" s="72"/>
      <c r="S52" s="72"/>
      <c r="V52" s="72"/>
      <c r="W52" s="72"/>
      <c r="X52" s="72"/>
      <c r="Y52" s="72"/>
      <c r="Z52" s="72"/>
      <c r="AA52" s="72"/>
      <c r="AB52" s="72"/>
      <c r="AC52" s="72"/>
      <c r="AD52" s="72"/>
      <c r="AE52" s="72"/>
      <c r="AF52" s="72"/>
      <c r="AG52" s="72"/>
    </row>
    <row r="53" spans="2:33" s="128" customFormat="1" ht="24" customHeight="1">
      <c r="C53" s="1228"/>
      <c r="D53" s="1228"/>
      <c r="E53" s="179"/>
      <c r="F53" s="129"/>
      <c r="G53" s="129"/>
      <c r="H53" s="129"/>
      <c r="I53" s="129"/>
      <c r="J53" s="129"/>
      <c r="K53" s="129"/>
      <c r="L53" s="180"/>
      <c r="M53" s="129"/>
      <c r="N53" s="129"/>
      <c r="O53" s="129"/>
      <c r="P53" s="129"/>
      <c r="Q53" s="129"/>
      <c r="R53" s="180"/>
      <c r="S53" s="129"/>
      <c r="T53" s="129"/>
      <c r="U53" s="180"/>
      <c r="V53" s="129"/>
      <c r="W53" s="129"/>
      <c r="X53" s="129"/>
      <c r="Y53" s="129"/>
      <c r="Z53" s="129"/>
      <c r="AA53" s="129"/>
      <c r="AB53" s="129"/>
      <c r="AC53" s="129"/>
      <c r="AD53" s="129"/>
      <c r="AE53" s="129"/>
      <c r="AF53" s="129"/>
      <c r="AG53" s="129"/>
    </row>
    <row r="54" spans="2:33">
      <c r="G54" s="72"/>
      <c r="H54" s="72"/>
      <c r="I54" s="72"/>
      <c r="J54" s="72"/>
      <c r="K54" s="72"/>
      <c r="M54" s="72"/>
      <c r="N54" s="72"/>
      <c r="O54" s="72"/>
      <c r="P54" s="72"/>
      <c r="Q54" s="72"/>
      <c r="S54" s="72"/>
      <c r="V54" s="72"/>
      <c r="W54" s="72"/>
      <c r="X54" s="72"/>
      <c r="Y54" s="72"/>
      <c r="Z54" s="72"/>
      <c r="AA54" s="72"/>
      <c r="AB54" s="72"/>
      <c r="AC54" s="72"/>
      <c r="AD54" s="72"/>
      <c r="AE54" s="72"/>
    </row>
    <row r="55" spans="2:33">
      <c r="G55" s="131"/>
      <c r="H55" s="131"/>
      <c r="I55" s="131"/>
      <c r="J55" s="131"/>
      <c r="K55" s="131"/>
      <c r="M55" s="131"/>
      <c r="N55" s="131"/>
      <c r="O55" s="131"/>
      <c r="P55" s="131"/>
      <c r="Q55" s="131"/>
      <c r="S55" s="131"/>
      <c r="V55" s="131"/>
      <c r="W55" s="131"/>
      <c r="X55" s="131"/>
      <c r="Y55" s="131"/>
      <c r="Z55" s="131"/>
      <c r="AA55" s="131"/>
      <c r="AB55" s="131"/>
      <c r="AC55" s="131"/>
      <c r="AD55" s="131"/>
    </row>
  </sheetData>
  <mergeCells count="2">
    <mergeCell ref="O3:V3"/>
    <mergeCell ref="C53:D53"/>
  </mergeCells>
  <phoneticPr fontId="6" type="noConversion"/>
  <printOptions horizontalCentered="1"/>
  <pageMargins left="0.2" right="0.2" top="0.2" bottom="0.35000000000000003" header="0.2" footer="0.2"/>
  <pageSetup paperSize="9" scale="82" orientation="portrait" horizontalDpi="4294967292" verticalDpi="4294967292"/>
  <headerFooter>
    <oddFooter>&amp;L&amp;"Arial,Standard"Business Case&amp;C&amp;"Arial,Standard"&amp;F&amp;R&amp;"Arial,Standard"&amp;D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42DE-9132-E744-A6F0-38E4AC1BF20D}">
  <sheetPr>
    <pageSetUpPr fitToPage="1"/>
  </sheetPr>
  <dimension ref="B2:P57"/>
  <sheetViews>
    <sheetView showGridLines="0" zoomScale="130" zoomScaleNormal="130" zoomScalePageLayoutView="150" workbookViewId="0">
      <selection activeCell="G26" sqref="G26"/>
    </sheetView>
  </sheetViews>
  <sheetFormatPr baseColWidth="10" defaultColWidth="10.796875" defaultRowHeight="13"/>
  <cols>
    <col min="1" max="1" width="2" style="537" customWidth="1"/>
    <col min="2" max="2" width="2.796875" style="537" customWidth="1"/>
    <col min="3" max="3" width="7.796875" style="537" customWidth="1"/>
    <col min="4" max="4" width="19.796875" style="537" customWidth="1"/>
    <col min="5" max="5" width="12.796875" style="537" customWidth="1"/>
    <col min="6" max="6" width="1" style="537" customWidth="1"/>
    <col min="7" max="7" width="11.796875" style="537" customWidth="1"/>
    <col min="8" max="8" width="0.796875" style="537" customWidth="1"/>
    <col min="9" max="9" width="11.796875" style="537" customWidth="1"/>
    <col min="10" max="10" width="1" style="537" customWidth="1"/>
    <col min="11" max="11" width="11.796875" style="537" customWidth="1"/>
    <col min="12" max="12" width="1.19921875" style="537" customWidth="1"/>
    <col min="13" max="13" width="11.796875" style="537" customWidth="1"/>
    <col min="14" max="14" width="1.19921875" style="537" customWidth="1"/>
    <col min="15" max="15" width="11.796875" style="537" customWidth="1"/>
    <col min="16" max="16" width="2.796875" style="537" customWidth="1"/>
    <col min="17" max="17" width="3.796875" style="537" customWidth="1"/>
    <col min="18" max="16384" width="10.796875" style="537"/>
  </cols>
  <sheetData>
    <row r="2" spans="2:16" s="534" customFormat="1" ht="18">
      <c r="B2" s="1237" t="s">
        <v>473</v>
      </c>
      <c r="C2" s="1238"/>
      <c r="D2" s="1238"/>
      <c r="E2" s="1238"/>
      <c r="F2" s="1238"/>
      <c r="G2" s="1238"/>
      <c r="H2" s="1238"/>
      <c r="I2" s="1238"/>
      <c r="J2" s="1238"/>
      <c r="K2" s="1238"/>
      <c r="L2" s="1238"/>
      <c r="M2" s="1238"/>
      <c r="N2" s="1238"/>
      <c r="O2" s="1238"/>
      <c r="P2" s="1239"/>
    </row>
    <row r="3" spans="2:16">
      <c r="B3" s="535"/>
      <c r="C3" s="215" t="str">
        <f>+Parameter!$D$4&amp;", "&amp;Parameter!$D$15</f>
        <v>company name, Location</v>
      </c>
      <c r="G3" s="1240" t="s">
        <v>474</v>
      </c>
      <c r="H3" s="1241"/>
      <c r="I3" s="1242"/>
      <c r="M3" s="538" t="s">
        <v>475</v>
      </c>
      <c r="N3" s="539"/>
      <c r="O3" s="540">
        <f>+Parameter!$D$6</f>
        <v>2023</v>
      </c>
      <c r="P3" s="541"/>
    </row>
    <row r="4" spans="2:16" ht="16">
      <c r="B4" s="535"/>
      <c r="C4" s="536"/>
      <c r="G4" s="542"/>
      <c r="H4" s="542"/>
      <c r="I4" s="542"/>
      <c r="J4" s="542"/>
      <c r="P4" s="541"/>
    </row>
    <row r="5" spans="2:16">
      <c r="B5" s="535"/>
      <c r="C5" s="1045" t="str">
        <f>+Parameter!D9</f>
        <v>Product 1</v>
      </c>
      <c r="D5" s="1044"/>
      <c r="E5" s="1041"/>
      <c r="G5" s="543" t="s">
        <v>476</v>
      </c>
      <c r="P5" s="541"/>
    </row>
    <row r="6" spans="2:16" ht="14" thickBot="1">
      <c r="B6" s="535"/>
      <c r="C6" s="542"/>
      <c r="D6" s="1042" t="s">
        <v>477</v>
      </c>
      <c r="E6" s="1043" t="s">
        <v>478</v>
      </c>
      <c r="F6" s="1046"/>
      <c r="G6" s="717" t="str">
        <f>Parameter!$D$8&amp;" "&amp;Parameter!D6</f>
        <v>Year 2023</v>
      </c>
      <c r="H6" s="1046"/>
      <c r="I6" s="717" t="str">
        <f>Parameter!$D$8&amp;" "&amp;Parameter!E6</f>
        <v>Year 2024</v>
      </c>
      <c r="J6" s="1046"/>
      <c r="K6" s="717" t="str">
        <f>Parameter!$D$8&amp;" "&amp;Parameter!F6</f>
        <v>Year 2025</v>
      </c>
      <c r="L6" s="1046"/>
      <c r="M6" s="717" t="str">
        <f>Parameter!$D$8&amp;" "&amp;Parameter!G6</f>
        <v>Year 2026</v>
      </c>
      <c r="N6" s="1046"/>
      <c r="O6" s="717" t="str">
        <f>Parameter!$D$8&amp;" "&amp;Parameter!H6</f>
        <v>Year 2027</v>
      </c>
      <c r="P6" s="541"/>
    </row>
    <row r="7" spans="2:16">
      <c r="B7" s="535"/>
      <c r="D7" s="1032"/>
      <c r="E7" s="1033"/>
      <c r="F7" s="544"/>
      <c r="G7" s="1038"/>
      <c r="H7" s="1050"/>
      <c r="I7" s="1038"/>
      <c r="J7" s="1050"/>
      <c r="K7" s="1038"/>
      <c r="L7" s="1050"/>
      <c r="M7" s="1038"/>
      <c r="N7" s="1050"/>
      <c r="O7" s="1038"/>
      <c r="P7" s="545"/>
    </row>
    <row r="8" spans="2:16">
      <c r="B8" s="535"/>
      <c r="D8" s="1034"/>
      <c r="E8" s="1035"/>
      <c r="F8" s="544"/>
      <c r="G8" s="1039"/>
      <c r="H8" s="1050"/>
      <c r="I8" s="1039"/>
      <c r="J8" s="1050"/>
      <c r="K8" s="1039"/>
      <c r="L8" s="1050"/>
      <c r="M8" s="1039"/>
      <c r="N8" s="1050"/>
      <c r="O8" s="1039"/>
      <c r="P8" s="545"/>
    </row>
    <row r="9" spans="2:16">
      <c r="B9" s="535"/>
      <c r="D9" s="1034"/>
      <c r="E9" s="1035"/>
      <c r="F9" s="544"/>
      <c r="G9" s="1039"/>
      <c r="H9" s="1050"/>
      <c r="I9" s="1039"/>
      <c r="J9" s="1050"/>
      <c r="K9" s="1039"/>
      <c r="L9" s="1050"/>
      <c r="M9" s="1039"/>
      <c r="N9" s="1050"/>
      <c r="O9" s="1039"/>
      <c r="P9" s="545"/>
    </row>
    <row r="10" spans="2:16">
      <c r="B10" s="535"/>
      <c r="D10" s="1034"/>
      <c r="E10" s="1035"/>
      <c r="F10" s="544"/>
      <c r="G10" s="1039"/>
      <c r="H10" s="1050"/>
      <c r="I10" s="1039"/>
      <c r="J10" s="1050"/>
      <c r="K10" s="1039"/>
      <c r="L10" s="1050"/>
      <c r="M10" s="1039"/>
      <c r="N10" s="1050"/>
      <c r="O10" s="1039"/>
      <c r="P10" s="545"/>
    </row>
    <row r="11" spans="2:16">
      <c r="B11" s="535"/>
      <c r="D11" s="1036"/>
      <c r="E11" s="1037"/>
      <c r="F11" s="544"/>
      <c r="G11" s="1040"/>
      <c r="H11" s="1050"/>
      <c r="I11" s="1040"/>
      <c r="J11" s="1050"/>
      <c r="K11" s="1040"/>
      <c r="L11" s="1050"/>
      <c r="M11" s="1040"/>
      <c r="N11" s="1050"/>
      <c r="O11" s="1040"/>
      <c r="P11" s="545"/>
    </row>
    <row r="12" spans="2:16">
      <c r="B12" s="535"/>
      <c r="D12" s="1036"/>
      <c r="E12" s="1037"/>
      <c r="F12" s="544"/>
      <c r="G12" s="1040"/>
      <c r="H12" s="1050"/>
      <c r="I12" s="1040"/>
      <c r="J12" s="1050"/>
      <c r="K12" s="1040"/>
      <c r="L12" s="1050"/>
      <c r="M12" s="1040"/>
      <c r="N12" s="1050"/>
      <c r="O12" s="1040"/>
      <c r="P12" s="545"/>
    </row>
    <row r="13" spans="2:16" s="542" customFormat="1">
      <c r="B13" s="549"/>
      <c r="D13" s="719" t="str">
        <f>"Product Costs"&amp;" "&amp;C5</f>
        <v>Product Costs Product 1</v>
      </c>
      <c r="E13" s="720"/>
      <c r="F13" s="1047"/>
      <c r="G13" s="721">
        <f>SUM(G7:G12)</f>
        <v>0</v>
      </c>
      <c r="H13" s="1051"/>
      <c r="I13" s="721">
        <f>SUM(I7:I12)</f>
        <v>0</v>
      </c>
      <c r="J13" s="1054"/>
      <c r="K13" s="721">
        <f>SUM(K7:K12)</f>
        <v>0</v>
      </c>
      <c r="L13" s="1054"/>
      <c r="M13" s="721">
        <f>SUM(M7:M12)</f>
        <v>0</v>
      </c>
      <c r="N13" s="1054"/>
      <c r="O13" s="721">
        <f>SUM(O7:O12)</f>
        <v>0</v>
      </c>
      <c r="P13" s="550"/>
    </row>
    <row r="14" spans="2:16" s="542" customFormat="1">
      <c r="B14" s="1180"/>
      <c r="D14" s="1181" t="s">
        <v>557</v>
      </c>
      <c r="E14" s="1181"/>
      <c r="F14" s="1048"/>
      <c r="G14" s="1182">
        <v>0</v>
      </c>
      <c r="H14" s="1183"/>
      <c r="I14" s="1182">
        <v>0</v>
      </c>
      <c r="J14" s="1183"/>
      <c r="K14" s="1182">
        <v>0</v>
      </c>
      <c r="L14" s="1183"/>
      <c r="M14" s="1182">
        <v>0</v>
      </c>
      <c r="N14" s="1183"/>
      <c r="O14" s="1182">
        <v>0</v>
      </c>
      <c r="P14" s="550"/>
    </row>
    <row r="15" spans="2:16">
      <c r="B15" s="535"/>
      <c r="G15" s="551"/>
      <c r="H15" s="551"/>
      <c r="I15" s="551"/>
      <c r="J15" s="551"/>
      <c r="K15" s="551"/>
      <c r="L15" s="551"/>
      <c r="M15" s="551"/>
      <c r="N15" s="551"/>
      <c r="O15" s="551"/>
      <c r="P15" s="545"/>
    </row>
    <row r="16" spans="2:16">
      <c r="B16" s="535"/>
      <c r="C16" s="1045" t="str">
        <f>+Parameter!D10</f>
        <v>Product 2</v>
      </c>
      <c r="D16" s="1044"/>
      <c r="E16" s="1041"/>
      <c r="G16" s="552" t="str">
        <f>+G5</f>
        <v>Unit Price</v>
      </c>
      <c r="H16" s="551"/>
      <c r="I16" s="551"/>
      <c r="J16" s="551"/>
      <c r="K16" s="551"/>
      <c r="L16" s="551"/>
      <c r="M16" s="551"/>
      <c r="N16" s="551"/>
      <c r="O16" s="551"/>
      <c r="P16" s="545"/>
    </row>
    <row r="17" spans="2:16" ht="14" thickBot="1">
      <c r="B17" s="535"/>
      <c r="C17" s="542"/>
      <c r="D17" s="1042" t="s">
        <v>477</v>
      </c>
      <c r="E17" s="1043" t="s">
        <v>478</v>
      </c>
      <c r="F17" s="1046"/>
      <c r="G17" s="718" t="str">
        <f>+G6</f>
        <v>Year 2023</v>
      </c>
      <c r="H17" s="1052"/>
      <c r="I17" s="718" t="str">
        <f>+I6</f>
        <v>Year 2024</v>
      </c>
      <c r="J17" s="1052"/>
      <c r="K17" s="718" t="str">
        <f>+K6</f>
        <v>Year 2025</v>
      </c>
      <c r="L17" s="1052"/>
      <c r="M17" s="718" t="str">
        <f>+M6</f>
        <v>Year 2026</v>
      </c>
      <c r="N17" s="1052"/>
      <c r="O17" s="718" t="str">
        <f>+O6</f>
        <v>Year 2027</v>
      </c>
      <c r="P17" s="545"/>
    </row>
    <row r="18" spans="2:16">
      <c r="B18" s="535"/>
      <c r="D18" s="1032" t="s">
        <v>565</v>
      </c>
      <c r="E18" s="1033" t="s">
        <v>566</v>
      </c>
      <c r="F18" s="544"/>
      <c r="G18" s="1038">
        <v>5</v>
      </c>
      <c r="H18" s="1050"/>
      <c r="I18" s="1038">
        <v>5</v>
      </c>
      <c r="J18" s="1050"/>
      <c r="K18" s="1038">
        <v>4</v>
      </c>
      <c r="L18" s="1050"/>
      <c r="M18" s="1038"/>
      <c r="N18" s="1050"/>
      <c r="O18" s="1038"/>
      <c r="P18" s="545"/>
    </row>
    <row r="19" spans="2:16">
      <c r="B19" s="535"/>
      <c r="D19" s="1034" t="s">
        <v>567</v>
      </c>
      <c r="E19" s="1035" t="s">
        <v>568</v>
      </c>
      <c r="F19" s="544"/>
      <c r="G19" s="1039">
        <v>2</v>
      </c>
      <c r="H19" s="1050"/>
      <c r="I19" s="1039">
        <v>2</v>
      </c>
      <c r="J19" s="1050"/>
      <c r="K19" s="1039">
        <v>2</v>
      </c>
      <c r="L19" s="1050"/>
      <c r="M19" s="1039"/>
      <c r="N19" s="1050"/>
      <c r="O19" s="1039"/>
      <c r="P19" s="545"/>
    </row>
    <row r="20" spans="2:16">
      <c r="B20" s="535"/>
      <c r="D20" s="1034" t="s">
        <v>569</v>
      </c>
      <c r="E20" s="1035" t="s">
        <v>570</v>
      </c>
      <c r="F20" s="544"/>
      <c r="G20" s="1039">
        <v>7</v>
      </c>
      <c r="H20" s="1050"/>
      <c r="I20" s="1039">
        <v>6</v>
      </c>
      <c r="J20" s="1050"/>
      <c r="K20" s="1039">
        <v>5</v>
      </c>
      <c r="L20" s="1050"/>
      <c r="M20" s="1039"/>
      <c r="N20" s="1050"/>
      <c r="O20" s="1039"/>
      <c r="P20" s="545"/>
    </row>
    <row r="21" spans="2:16">
      <c r="B21" s="535"/>
      <c r="D21" s="1034"/>
      <c r="E21" s="1035"/>
      <c r="F21" s="544"/>
      <c r="G21" s="1039"/>
      <c r="H21" s="1050"/>
      <c r="I21" s="1039"/>
      <c r="J21" s="1050"/>
      <c r="K21" s="1039"/>
      <c r="L21" s="1050"/>
      <c r="M21" s="1039"/>
      <c r="N21" s="1050"/>
      <c r="O21" s="1039"/>
      <c r="P21" s="545"/>
    </row>
    <row r="22" spans="2:16">
      <c r="B22" s="535"/>
      <c r="D22" s="1036"/>
      <c r="E22" s="1037"/>
      <c r="F22" s="544"/>
      <c r="G22" s="1040"/>
      <c r="H22" s="1050"/>
      <c r="I22" s="1040"/>
      <c r="J22" s="1050"/>
      <c r="K22" s="1040"/>
      <c r="L22" s="1050"/>
      <c r="M22" s="1040"/>
      <c r="N22" s="1050"/>
      <c r="O22" s="1040"/>
      <c r="P22" s="545"/>
    </row>
    <row r="23" spans="2:16">
      <c r="B23" s="535"/>
      <c r="D23" s="1036"/>
      <c r="E23" s="1037"/>
      <c r="F23" s="544"/>
      <c r="G23" s="1040"/>
      <c r="H23" s="1050"/>
      <c r="I23" s="1040"/>
      <c r="J23" s="1050"/>
      <c r="K23" s="1040"/>
      <c r="L23" s="1050"/>
      <c r="M23" s="1040"/>
      <c r="N23" s="1050"/>
      <c r="O23" s="1040"/>
      <c r="P23" s="545"/>
    </row>
    <row r="24" spans="2:16">
      <c r="B24" s="535"/>
      <c r="D24" s="546"/>
      <c r="E24" s="547"/>
      <c r="F24" s="544"/>
      <c r="G24" s="548"/>
      <c r="H24" s="1050"/>
      <c r="I24" s="548"/>
      <c r="J24" s="1050"/>
      <c r="K24" s="548"/>
      <c r="L24" s="1050"/>
      <c r="M24" s="548"/>
      <c r="N24" s="1050"/>
      <c r="O24" s="548"/>
      <c r="P24" s="545"/>
    </row>
    <row r="25" spans="2:16" s="542" customFormat="1">
      <c r="B25" s="549"/>
      <c r="D25" s="719" t="str">
        <f>"Product Costs"&amp;" "&amp;C16</f>
        <v>Product Costs Product 2</v>
      </c>
      <c r="E25" s="720"/>
      <c r="F25" s="1047"/>
      <c r="G25" s="721">
        <f>SUM(G18:G24)</f>
        <v>14</v>
      </c>
      <c r="H25" s="1051"/>
      <c r="I25" s="721">
        <f>SUM(I18:I24)</f>
        <v>13</v>
      </c>
      <c r="J25" s="1054"/>
      <c r="K25" s="721">
        <f>SUM(K18:K24)</f>
        <v>11</v>
      </c>
      <c r="L25" s="1054"/>
      <c r="M25" s="721">
        <f>SUM(M18:M24)</f>
        <v>0</v>
      </c>
      <c r="N25" s="1054"/>
      <c r="O25" s="721">
        <f>SUM(O18:O24)</f>
        <v>0</v>
      </c>
      <c r="P25" s="550"/>
    </row>
    <row r="26" spans="2:16" s="542" customFormat="1">
      <c r="B26" s="1180"/>
      <c r="D26" s="1181" t="s">
        <v>557</v>
      </c>
      <c r="E26" s="1181"/>
      <c r="F26" s="1048"/>
      <c r="G26" s="1182">
        <v>1</v>
      </c>
      <c r="H26" s="1183"/>
      <c r="I26" s="1182">
        <v>1</v>
      </c>
      <c r="J26" s="1183"/>
      <c r="K26" s="1182">
        <v>1</v>
      </c>
      <c r="L26" s="1183"/>
      <c r="M26" s="1182">
        <v>0</v>
      </c>
      <c r="N26" s="1183"/>
      <c r="O26" s="1182">
        <v>0</v>
      </c>
      <c r="P26" s="550"/>
    </row>
    <row r="27" spans="2:16">
      <c r="B27" s="535"/>
      <c r="G27" s="551"/>
      <c r="H27" s="551"/>
      <c r="I27" s="551"/>
      <c r="J27" s="551"/>
      <c r="K27" s="551"/>
      <c r="L27" s="551"/>
      <c r="M27" s="551"/>
      <c r="N27" s="551"/>
      <c r="O27" s="551"/>
      <c r="P27" s="545"/>
    </row>
    <row r="28" spans="2:16">
      <c r="B28" s="535"/>
      <c r="C28" s="1045" t="str">
        <f>+Parameter!D11</f>
        <v>Product 3</v>
      </c>
      <c r="D28" s="1044"/>
      <c r="E28" s="1041"/>
      <c r="G28" s="552" t="str">
        <f>+G5</f>
        <v>Unit Price</v>
      </c>
      <c r="H28" s="551"/>
      <c r="I28" s="551"/>
      <c r="J28" s="551"/>
      <c r="K28" s="551"/>
      <c r="L28" s="551"/>
      <c r="M28" s="551"/>
      <c r="N28" s="551"/>
      <c r="O28" s="551"/>
      <c r="P28" s="545"/>
    </row>
    <row r="29" spans="2:16" ht="14" thickBot="1">
      <c r="B29" s="535"/>
      <c r="C29" s="542"/>
      <c r="D29" s="1042" t="s">
        <v>477</v>
      </c>
      <c r="E29" s="1043" t="s">
        <v>478</v>
      </c>
      <c r="F29" s="1046"/>
      <c r="G29" s="718" t="str">
        <f>+G17</f>
        <v>Year 2023</v>
      </c>
      <c r="H29" s="1052"/>
      <c r="I29" s="718" t="str">
        <f>+I17</f>
        <v>Year 2024</v>
      </c>
      <c r="J29" s="1052"/>
      <c r="K29" s="718" t="str">
        <f>+K17</f>
        <v>Year 2025</v>
      </c>
      <c r="L29" s="1052"/>
      <c r="M29" s="718" t="str">
        <f>+M17</f>
        <v>Year 2026</v>
      </c>
      <c r="N29" s="1052"/>
      <c r="O29" s="718" t="str">
        <f>+O17</f>
        <v>Year 2027</v>
      </c>
      <c r="P29" s="545"/>
    </row>
    <row r="30" spans="2:16">
      <c r="B30" s="535"/>
      <c r="D30" s="1034"/>
      <c r="E30" s="1035"/>
      <c r="F30" s="544"/>
      <c r="G30" s="1039"/>
      <c r="H30" s="1050"/>
      <c r="I30" s="1039"/>
      <c r="J30" s="1050"/>
      <c r="K30" s="1039"/>
      <c r="L30" s="1050"/>
      <c r="M30" s="1039"/>
      <c r="N30" s="1050"/>
      <c r="O30" s="1039"/>
      <c r="P30" s="545"/>
    </row>
    <row r="31" spans="2:16">
      <c r="B31" s="535"/>
      <c r="D31" s="1034"/>
      <c r="E31" s="1035"/>
      <c r="F31" s="544"/>
      <c r="G31" s="1039"/>
      <c r="H31" s="1050"/>
      <c r="I31" s="1039"/>
      <c r="J31" s="1050"/>
      <c r="K31" s="1039"/>
      <c r="L31" s="1050"/>
      <c r="M31" s="1039"/>
      <c r="N31" s="1050"/>
      <c r="O31" s="1039"/>
      <c r="P31" s="545"/>
    </row>
    <row r="32" spans="2:16">
      <c r="B32" s="535"/>
      <c r="D32" s="1034"/>
      <c r="E32" s="1035"/>
      <c r="F32" s="544"/>
      <c r="G32" s="1039"/>
      <c r="H32" s="1050"/>
      <c r="I32" s="1039"/>
      <c r="J32" s="1050"/>
      <c r="K32" s="1039"/>
      <c r="L32" s="1050"/>
      <c r="M32" s="1039"/>
      <c r="N32" s="1050"/>
      <c r="O32" s="1039"/>
      <c r="P32" s="545"/>
    </row>
    <row r="33" spans="2:16">
      <c r="B33" s="535"/>
      <c r="D33" s="1034"/>
      <c r="E33" s="1035"/>
      <c r="F33" s="544"/>
      <c r="G33" s="1039"/>
      <c r="H33" s="1050"/>
      <c r="I33" s="1039"/>
      <c r="J33" s="1050"/>
      <c r="K33" s="1039"/>
      <c r="L33" s="1050"/>
      <c r="M33" s="1039"/>
      <c r="N33" s="1050"/>
      <c r="O33" s="1039"/>
      <c r="P33" s="545"/>
    </row>
    <row r="34" spans="2:16">
      <c r="B34" s="535"/>
      <c r="D34" s="1034"/>
      <c r="E34" s="1035"/>
      <c r="F34" s="544"/>
      <c r="G34" s="1039"/>
      <c r="H34" s="1050"/>
      <c r="I34" s="1039"/>
      <c r="J34" s="1050"/>
      <c r="K34" s="1039"/>
      <c r="L34" s="1050"/>
      <c r="M34" s="1039"/>
      <c r="N34" s="1050"/>
      <c r="O34" s="1039"/>
      <c r="P34" s="545"/>
    </row>
    <row r="35" spans="2:16" s="542" customFormat="1">
      <c r="B35" s="549"/>
      <c r="D35" s="719" t="str">
        <f>"Product Costs"&amp;" "&amp;C28</f>
        <v>Product Costs Product 3</v>
      </c>
      <c r="E35" s="720"/>
      <c r="F35" s="1047"/>
      <c r="G35" s="721">
        <f>SUM(G30:G34)</f>
        <v>0</v>
      </c>
      <c r="H35" s="1051"/>
      <c r="I35" s="721">
        <f>SUM(I30:I34)</f>
        <v>0</v>
      </c>
      <c r="J35" s="1054"/>
      <c r="K35" s="721">
        <f>SUM(K30:K34)</f>
        <v>0</v>
      </c>
      <c r="L35" s="1054"/>
      <c r="M35" s="721">
        <f>SUM(M30:M34)</f>
        <v>0</v>
      </c>
      <c r="N35" s="1054"/>
      <c r="O35" s="721">
        <f>SUM(O30:O34)</f>
        <v>0</v>
      </c>
      <c r="P35" s="550"/>
    </row>
    <row r="36" spans="2:16" s="542" customFormat="1">
      <c r="B36" s="1180"/>
      <c r="D36" s="1181" t="s">
        <v>557</v>
      </c>
      <c r="E36" s="1181"/>
      <c r="F36" s="1048"/>
      <c r="G36" s="1182">
        <v>0</v>
      </c>
      <c r="H36" s="1183"/>
      <c r="I36" s="1182">
        <v>0</v>
      </c>
      <c r="J36" s="1183"/>
      <c r="K36" s="1182">
        <v>0</v>
      </c>
      <c r="L36" s="1183"/>
      <c r="M36" s="1182">
        <v>0</v>
      </c>
      <c r="N36" s="1183"/>
      <c r="O36" s="1182">
        <v>0</v>
      </c>
      <c r="P36" s="550"/>
    </row>
    <row r="37" spans="2:16" s="542" customFormat="1">
      <c r="B37" s="549"/>
      <c r="F37" s="1048"/>
      <c r="G37" s="553"/>
      <c r="H37" s="553"/>
      <c r="I37" s="553"/>
      <c r="J37" s="553"/>
      <c r="K37" s="553"/>
      <c r="L37" s="553"/>
      <c r="M37" s="553"/>
      <c r="N37" s="553"/>
      <c r="O37" s="553"/>
      <c r="P37" s="550"/>
    </row>
    <row r="38" spans="2:16">
      <c r="B38" s="535"/>
      <c r="C38" s="1045" t="str">
        <f>+Parameter!D12</f>
        <v>Product 4</v>
      </c>
      <c r="D38" s="1044"/>
      <c r="E38" s="1041"/>
      <c r="G38" s="552" t="str">
        <f>+G5</f>
        <v>Unit Price</v>
      </c>
      <c r="H38" s="551"/>
      <c r="I38" s="551"/>
      <c r="J38" s="551"/>
      <c r="K38" s="551"/>
      <c r="L38" s="551"/>
      <c r="M38" s="551"/>
      <c r="N38" s="551"/>
      <c r="O38" s="551"/>
      <c r="P38" s="545"/>
    </row>
    <row r="39" spans="2:16" ht="14" thickBot="1">
      <c r="B39" s="535"/>
      <c r="C39" s="542"/>
      <c r="D39" s="1042" t="s">
        <v>477</v>
      </c>
      <c r="E39" s="1043" t="s">
        <v>478</v>
      </c>
      <c r="F39" s="1046"/>
      <c r="G39" s="718" t="str">
        <f>+G29</f>
        <v>Year 2023</v>
      </c>
      <c r="H39" s="1052"/>
      <c r="I39" s="718" t="str">
        <f>+I29</f>
        <v>Year 2024</v>
      </c>
      <c r="J39" s="1052"/>
      <c r="K39" s="718" t="str">
        <f>+K29</f>
        <v>Year 2025</v>
      </c>
      <c r="L39" s="1052"/>
      <c r="M39" s="718" t="str">
        <f>+M29</f>
        <v>Year 2026</v>
      </c>
      <c r="N39" s="1052"/>
      <c r="O39" s="718" t="str">
        <f>+O29</f>
        <v>Year 2027</v>
      </c>
      <c r="P39" s="545"/>
    </row>
    <row r="40" spans="2:16">
      <c r="B40" s="535"/>
      <c r="D40" s="1034"/>
      <c r="E40" s="1035"/>
      <c r="F40" s="544"/>
      <c r="G40" s="1039"/>
      <c r="H40" s="1050"/>
      <c r="I40" s="1039"/>
      <c r="J40" s="1050"/>
      <c r="K40" s="1039"/>
      <c r="L40" s="1050"/>
      <c r="M40" s="1039"/>
      <c r="N40" s="1050"/>
      <c r="O40" s="1039"/>
      <c r="P40" s="545"/>
    </row>
    <row r="41" spans="2:16">
      <c r="B41" s="535"/>
      <c r="D41" s="1034"/>
      <c r="E41" s="1035"/>
      <c r="F41" s="544"/>
      <c r="G41" s="1039"/>
      <c r="H41" s="1050"/>
      <c r="I41" s="1039"/>
      <c r="J41" s="1050"/>
      <c r="K41" s="1039"/>
      <c r="L41" s="1050"/>
      <c r="M41" s="1039"/>
      <c r="N41" s="1050"/>
      <c r="O41" s="1039"/>
      <c r="P41" s="545"/>
    </row>
    <row r="42" spans="2:16">
      <c r="B42" s="535"/>
      <c r="D42" s="1034"/>
      <c r="E42" s="1035"/>
      <c r="F42" s="544"/>
      <c r="G42" s="1039"/>
      <c r="H42" s="1050"/>
      <c r="I42" s="1039"/>
      <c r="J42" s="1050"/>
      <c r="K42" s="1039"/>
      <c r="L42" s="1050"/>
      <c r="M42" s="1039"/>
      <c r="N42" s="1050"/>
      <c r="O42" s="1039"/>
      <c r="P42" s="545"/>
    </row>
    <row r="43" spans="2:16">
      <c r="B43" s="535"/>
      <c r="D43" s="1034"/>
      <c r="E43" s="1035"/>
      <c r="F43" s="544"/>
      <c r="G43" s="1039"/>
      <c r="H43" s="1050"/>
      <c r="I43" s="1039"/>
      <c r="J43" s="1050"/>
      <c r="K43" s="1039"/>
      <c r="L43" s="1050"/>
      <c r="M43" s="1039"/>
      <c r="N43" s="1050"/>
      <c r="O43" s="1039"/>
      <c r="P43" s="545"/>
    </row>
    <row r="44" spans="2:16" s="542" customFormat="1">
      <c r="B44" s="549"/>
      <c r="D44" s="719" t="str">
        <f>"Product Costs"&amp;" "&amp;C38</f>
        <v>Product Costs Product 4</v>
      </c>
      <c r="E44" s="720"/>
      <c r="F44" s="1047"/>
      <c r="G44" s="721">
        <f>SUM(G40:G43)</f>
        <v>0</v>
      </c>
      <c r="H44" s="1051"/>
      <c r="I44" s="721">
        <f>SUM(I40:I43)</f>
        <v>0</v>
      </c>
      <c r="J44" s="1054"/>
      <c r="K44" s="721">
        <f>SUM(K40:K43)</f>
        <v>0</v>
      </c>
      <c r="L44" s="1054"/>
      <c r="M44" s="721">
        <f>SUM(M40:M43)</f>
        <v>0</v>
      </c>
      <c r="N44" s="1054"/>
      <c r="O44" s="721">
        <f>SUM(O40:O43)</f>
        <v>0</v>
      </c>
      <c r="P44" s="550"/>
    </row>
    <row r="45" spans="2:16" s="542" customFormat="1">
      <c r="B45" s="1180"/>
      <c r="D45" s="1181" t="s">
        <v>557</v>
      </c>
      <c r="E45" s="1181"/>
      <c r="F45" s="1048"/>
      <c r="G45" s="1182">
        <v>0</v>
      </c>
      <c r="H45" s="1183"/>
      <c r="I45" s="1182">
        <v>0</v>
      </c>
      <c r="J45" s="1183"/>
      <c r="K45" s="1182">
        <v>0</v>
      </c>
      <c r="L45" s="1183"/>
      <c r="M45" s="1182">
        <v>0</v>
      </c>
      <c r="N45" s="1183"/>
      <c r="O45" s="1182">
        <v>0</v>
      </c>
      <c r="P45" s="550"/>
    </row>
    <row r="46" spans="2:16">
      <c r="B46" s="535"/>
      <c r="P46" s="545"/>
    </row>
    <row r="47" spans="2:16">
      <c r="B47" s="535"/>
      <c r="C47" s="1045" t="str">
        <f>+Parameter!D13</f>
        <v>Product 5</v>
      </c>
      <c r="D47" s="1044"/>
      <c r="E47" s="1041"/>
      <c r="G47" s="552" t="str">
        <f>+G5</f>
        <v>Unit Price</v>
      </c>
      <c r="H47" s="551"/>
      <c r="I47" s="551"/>
      <c r="J47" s="551"/>
      <c r="K47" s="551"/>
      <c r="L47" s="551"/>
      <c r="M47" s="551"/>
      <c r="N47" s="551"/>
      <c r="O47" s="551"/>
      <c r="P47" s="545"/>
    </row>
    <row r="48" spans="2:16" ht="14" thickBot="1">
      <c r="B48" s="535"/>
      <c r="C48" s="542"/>
      <c r="D48" s="1042" t="s">
        <v>477</v>
      </c>
      <c r="E48" s="1043" t="s">
        <v>478</v>
      </c>
      <c r="F48" s="1046"/>
      <c r="G48" s="718" t="str">
        <f>+G39</f>
        <v>Year 2023</v>
      </c>
      <c r="H48" s="1052"/>
      <c r="I48" s="718" t="str">
        <f>+I39</f>
        <v>Year 2024</v>
      </c>
      <c r="J48" s="1052"/>
      <c r="K48" s="718" t="str">
        <f>+K39</f>
        <v>Year 2025</v>
      </c>
      <c r="L48" s="1052"/>
      <c r="M48" s="718" t="str">
        <f>+M39</f>
        <v>Year 2026</v>
      </c>
      <c r="N48" s="1052"/>
      <c r="O48" s="718" t="str">
        <f>+O39</f>
        <v>Year 2027</v>
      </c>
      <c r="P48" s="545"/>
    </row>
    <row r="49" spans="2:16">
      <c r="B49" s="535"/>
      <c r="D49" s="1034"/>
      <c r="E49" s="1035"/>
      <c r="F49" s="544"/>
      <c r="G49" s="1039"/>
      <c r="H49" s="1050"/>
      <c r="I49" s="1039"/>
      <c r="J49" s="1050"/>
      <c r="K49" s="1039"/>
      <c r="L49" s="1050"/>
      <c r="M49" s="1039"/>
      <c r="N49" s="1050"/>
      <c r="O49" s="1039"/>
      <c r="P49" s="545"/>
    </row>
    <row r="50" spans="2:16">
      <c r="B50" s="535"/>
      <c r="D50" s="1034"/>
      <c r="E50" s="1035"/>
      <c r="F50" s="544"/>
      <c r="G50" s="1039"/>
      <c r="H50" s="1050"/>
      <c r="I50" s="1039"/>
      <c r="J50" s="1050"/>
      <c r="K50" s="1039"/>
      <c r="L50" s="1050"/>
      <c r="M50" s="1039"/>
      <c r="N50" s="1050"/>
      <c r="O50" s="1039"/>
      <c r="P50" s="545"/>
    </row>
    <row r="51" spans="2:16">
      <c r="B51" s="535"/>
      <c r="D51" s="1034"/>
      <c r="E51" s="1035"/>
      <c r="F51" s="544"/>
      <c r="G51" s="1039"/>
      <c r="H51" s="1050"/>
      <c r="I51" s="1039"/>
      <c r="J51" s="1050"/>
      <c r="K51" s="1039"/>
      <c r="L51" s="1050"/>
      <c r="M51" s="1039"/>
      <c r="N51" s="1050"/>
      <c r="O51" s="1039"/>
      <c r="P51" s="545"/>
    </row>
    <row r="52" spans="2:16">
      <c r="B52" s="535"/>
      <c r="D52" s="1034"/>
      <c r="E52" s="1035"/>
      <c r="F52" s="544"/>
      <c r="G52" s="1039"/>
      <c r="H52" s="1050"/>
      <c r="I52" s="1039"/>
      <c r="J52" s="1050"/>
      <c r="K52" s="1039"/>
      <c r="L52" s="1050"/>
      <c r="M52" s="1039"/>
      <c r="N52" s="1050"/>
      <c r="O52" s="1039"/>
      <c r="P52" s="545"/>
    </row>
    <row r="53" spans="2:16">
      <c r="B53" s="535"/>
      <c r="D53" s="1034"/>
      <c r="E53" s="1035"/>
      <c r="F53" s="544"/>
      <c r="G53" s="1039"/>
      <c r="H53" s="1050"/>
      <c r="I53" s="1039"/>
      <c r="J53" s="1050"/>
      <c r="K53" s="1039"/>
      <c r="L53" s="1050"/>
      <c r="M53" s="1039"/>
      <c r="N53" s="1050"/>
      <c r="O53" s="1039"/>
      <c r="P53" s="545"/>
    </row>
    <row r="54" spans="2:16">
      <c r="B54" s="535"/>
      <c r="D54" s="1034"/>
      <c r="E54" s="1035"/>
      <c r="F54" s="544"/>
      <c r="G54" s="1039"/>
      <c r="H54" s="1050"/>
      <c r="I54" s="1039"/>
      <c r="J54" s="1050"/>
      <c r="K54" s="1039"/>
      <c r="L54" s="1050"/>
      <c r="M54" s="1039"/>
      <c r="N54" s="1050"/>
      <c r="O54" s="1039"/>
      <c r="P54" s="545"/>
    </row>
    <row r="55" spans="2:16" s="542" customFormat="1">
      <c r="B55" s="549"/>
      <c r="D55" s="719" t="str">
        <f>"Product Costs"&amp;" "&amp;C47</f>
        <v>Product Costs Product 5</v>
      </c>
      <c r="E55" s="720"/>
      <c r="F55" s="1049"/>
      <c r="G55" s="721">
        <f>SUM(G49:G54)</f>
        <v>0</v>
      </c>
      <c r="H55" s="1053"/>
      <c r="I55" s="721">
        <f>SUM(I49:I54)</f>
        <v>0</v>
      </c>
      <c r="J55" s="1055"/>
      <c r="K55" s="721">
        <f>SUM(K49:K54)</f>
        <v>0</v>
      </c>
      <c r="L55" s="1054"/>
      <c r="M55" s="721">
        <f>SUM(M49:M54)</f>
        <v>0</v>
      </c>
      <c r="N55" s="1055"/>
      <c r="O55" s="721">
        <f>SUM(O49:O54)</f>
        <v>0</v>
      </c>
      <c r="P55" s="550"/>
    </row>
    <row r="56" spans="2:16" s="542" customFormat="1">
      <c r="B56" s="1180"/>
      <c r="D56" s="1181" t="s">
        <v>557</v>
      </c>
      <c r="E56" s="1181"/>
      <c r="F56" s="1048"/>
      <c r="G56" s="1182">
        <v>0</v>
      </c>
      <c r="H56" s="1183"/>
      <c r="I56" s="1182">
        <v>0</v>
      </c>
      <c r="J56" s="1183"/>
      <c r="K56" s="1182">
        <v>0</v>
      </c>
      <c r="L56" s="1183"/>
      <c r="M56" s="1182">
        <v>0</v>
      </c>
      <c r="N56" s="1183"/>
      <c r="O56" s="1182">
        <v>0</v>
      </c>
      <c r="P56" s="550"/>
    </row>
    <row r="57" spans="2:16">
      <c r="B57" s="554"/>
      <c r="C57" s="555"/>
      <c r="D57" s="555"/>
      <c r="E57" s="555"/>
      <c r="F57" s="555"/>
      <c r="G57" s="555"/>
      <c r="H57" s="555"/>
      <c r="I57" s="555"/>
      <c r="J57" s="555"/>
      <c r="K57" s="555"/>
      <c r="L57" s="555"/>
      <c r="M57" s="555"/>
      <c r="N57" s="555"/>
      <c r="O57" s="555"/>
      <c r="P57" s="556"/>
    </row>
  </sheetData>
  <mergeCells count="2">
    <mergeCell ref="B2:P2"/>
    <mergeCell ref="G3:I3"/>
  </mergeCells>
  <pageMargins left="0.2" right="0.2" top="0.2" bottom="0.2" header="0.2" footer="0.2"/>
  <pageSetup paperSize="10" orientation="portrait" horizontalDpi="4294967292" verticalDpi="4294967292"/>
  <headerFooter>
    <oddFooter>&amp;L&amp;"Lucida Grande,Standard"Business Case&amp;C&amp;"Lucida Grande,Standard"&amp;F&amp;R&amp;"Arial,Standard"&amp;D Seite &amp;P von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6A81-F9A1-9142-A71F-91D9303A92CE}">
  <sheetPr>
    <pageSetUpPr fitToPage="1"/>
  </sheetPr>
  <dimension ref="A1:AR111"/>
  <sheetViews>
    <sheetView showGridLines="0" topLeftCell="A73" zoomScale="130" zoomScaleNormal="130" workbookViewId="0">
      <pane xSplit="4" topLeftCell="E1" activePane="topRight" state="frozen"/>
      <selection pane="topRight" activeCell="O106" sqref="O106"/>
    </sheetView>
  </sheetViews>
  <sheetFormatPr baseColWidth="10" defaultColWidth="10.796875" defaultRowHeight="15"/>
  <cols>
    <col min="1" max="1" width="35.796875" style="560" bestFit="1" customWidth="1"/>
    <col min="2" max="2" width="13.19921875" style="560" bestFit="1" customWidth="1"/>
    <col min="3" max="3" width="14.796875" style="560" customWidth="1"/>
    <col min="4" max="4" width="16" style="560" customWidth="1"/>
    <col min="5" max="16" width="11" style="560" customWidth="1"/>
    <col min="17" max="17" width="2" style="560" customWidth="1"/>
    <col min="18" max="18" width="16" style="560" customWidth="1"/>
    <col min="19" max="30" width="11" style="560" customWidth="1"/>
    <col min="31" max="31" width="1.796875" style="560" customWidth="1"/>
    <col min="32" max="32" width="16" style="560" customWidth="1"/>
    <col min="33" max="44" width="11" style="560" customWidth="1"/>
    <col min="45" max="16384" width="10.796875" style="560"/>
  </cols>
  <sheetData>
    <row r="1" spans="1:44" ht="24" customHeight="1">
      <c r="A1" s="557" t="str">
        <f>"Sales Plan  "&amp;Parameter!D4</f>
        <v>Sales Plan  company name</v>
      </c>
      <c r="B1" s="558"/>
      <c r="C1" s="559"/>
    </row>
    <row r="2" spans="1:44" ht="18" customHeight="1">
      <c r="A2" s="215" t="str">
        <f>+Parameter!$D$4&amp;", "&amp;Parameter!$D$15</f>
        <v>company name, Location</v>
      </c>
      <c r="B2" s="675"/>
      <c r="E2" s="557" t="str">
        <f>TEXT(Parameter!D6,"####")</f>
        <v>2023</v>
      </c>
      <c r="R2" s="557" t="str">
        <f>TEXT(Parameter!E6,"####")</f>
        <v>2024</v>
      </c>
      <c r="AF2" s="557" t="str">
        <f>TEXT(Parameter!F6,"####")</f>
        <v>2025</v>
      </c>
    </row>
    <row r="3" spans="1:44" ht="21">
      <c r="A3" s="680" t="str">
        <f>Parameter!$D$9</f>
        <v>Product 1</v>
      </c>
      <c r="B3" s="1249"/>
      <c r="C3" s="1250"/>
      <c r="D3" s="681"/>
      <c r="E3" s="676" t="s">
        <v>465</v>
      </c>
      <c r="F3" s="677"/>
      <c r="G3" s="1081"/>
      <c r="H3" s="1081"/>
      <c r="I3" s="1081"/>
      <c r="J3" s="1081"/>
      <c r="K3" s="1243"/>
      <c r="L3" s="1243"/>
      <c r="M3" s="1243"/>
      <c r="N3" s="1243"/>
      <c r="O3" s="1243"/>
      <c r="P3" s="678"/>
      <c r="R3" s="1171"/>
      <c r="S3" s="676" t="s">
        <v>465</v>
      </c>
      <c r="T3" s="677"/>
      <c r="U3" s="1081"/>
      <c r="V3" s="1081"/>
      <c r="W3" s="1081"/>
      <c r="X3" s="1081"/>
      <c r="Y3" s="1243"/>
      <c r="Z3" s="1243"/>
      <c r="AA3" s="1243"/>
      <c r="AB3" s="1243"/>
      <c r="AC3" s="1243"/>
      <c r="AD3" s="678"/>
      <c r="AF3" s="1171"/>
      <c r="AG3" s="676" t="s">
        <v>465</v>
      </c>
      <c r="AH3" s="677"/>
      <c r="AI3" s="1081"/>
      <c r="AJ3" s="1081"/>
      <c r="AK3" s="1081"/>
      <c r="AL3" s="1081"/>
      <c r="AM3" s="1243"/>
      <c r="AN3" s="1243"/>
      <c r="AO3" s="1243"/>
      <c r="AP3" s="1243"/>
      <c r="AQ3" s="1243"/>
      <c r="AR3" s="678"/>
    </row>
    <row r="4" spans="1:44" ht="16">
      <c r="A4" s="679" t="s">
        <v>464</v>
      </c>
      <c r="B4" s="1246" t="s">
        <v>394</v>
      </c>
      <c r="C4" s="1246"/>
      <c r="D4" s="697" t="s">
        <v>463</v>
      </c>
      <c r="E4" s="673" t="s">
        <v>163</v>
      </c>
      <c r="F4" s="673" t="s">
        <v>164</v>
      </c>
      <c r="G4" s="673" t="s">
        <v>48</v>
      </c>
      <c r="H4" s="673" t="s">
        <v>7</v>
      </c>
      <c r="I4" s="673" t="s">
        <v>49</v>
      </c>
      <c r="J4" s="673" t="s">
        <v>9</v>
      </c>
      <c r="K4" s="673" t="s">
        <v>10</v>
      </c>
      <c r="L4" s="673" t="s">
        <v>11</v>
      </c>
      <c r="M4" s="673" t="s">
        <v>12</v>
      </c>
      <c r="N4" s="673" t="s">
        <v>50</v>
      </c>
      <c r="O4" s="673" t="s">
        <v>2</v>
      </c>
      <c r="P4" s="673" t="s">
        <v>51</v>
      </c>
      <c r="Q4" s="669"/>
      <c r="R4" s="697" t="s">
        <v>463</v>
      </c>
      <c r="S4" s="673" t="s">
        <v>163</v>
      </c>
      <c r="T4" s="673" t="s">
        <v>164</v>
      </c>
      <c r="U4" s="673" t="s">
        <v>48</v>
      </c>
      <c r="V4" s="673" t="s">
        <v>7</v>
      </c>
      <c r="W4" s="673" t="s">
        <v>49</v>
      </c>
      <c r="X4" s="673" t="s">
        <v>9</v>
      </c>
      <c r="Y4" s="673" t="s">
        <v>10</v>
      </c>
      <c r="Z4" s="673" t="s">
        <v>11</v>
      </c>
      <c r="AA4" s="673" t="s">
        <v>12</v>
      </c>
      <c r="AB4" s="673" t="s">
        <v>50</v>
      </c>
      <c r="AC4" s="673" t="s">
        <v>2</v>
      </c>
      <c r="AD4" s="673" t="s">
        <v>51</v>
      </c>
      <c r="AF4" s="697" t="s">
        <v>463</v>
      </c>
      <c r="AG4" s="673" t="s">
        <v>163</v>
      </c>
      <c r="AH4" s="673" t="s">
        <v>164</v>
      </c>
      <c r="AI4" s="673" t="s">
        <v>48</v>
      </c>
      <c r="AJ4" s="673" t="s">
        <v>7</v>
      </c>
      <c r="AK4" s="673" t="s">
        <v>49</v>
      </c>
      <c r="AL4" s="673" t="s">
        <v>9</v>
      </c>
      <c r="AM4" s="673" t="s">
        <v>10</v>
      </c>
      <c r="AN4" s="673" t="s">
        <v>11</v>
      </c>
      <c r="AO4" s="673" t="s">
        <v>12</v>
      </c>
      <c r="AP4" s="673" t="s">
        <v>50</v>
      </c>
      <c r="AQ4" s="673" t="s">
        <v>2</v>
      </c>
      <c r="AR4" s="673" t="s">
        <v>51</v>
      </c>
    </row>
    <row r="5" spans="1:44">
      <c r="A5" s="699" t="s">
        <v>457</v>
      </c>
      <c r="B5" s="1247" t="s">
        <v>458</v>
      </c>
      <c r="C5" s="1248"/>
      <c r="D5" s="687">
        <v>20000</v>
      </c>
      <c r="E5" s="730"/>
      <c r="F5" s="730"/>
      <c r="G5" s="730">
        <v>0.25</v>
      </c>
      <c r="H5" s="730"/>
      <c r="I5" s="730"/>
      <c r="J5" s="730">
        <v>0.25</v>
      </c>
      <c r="K5" s="731"/>
      <c r="L5" s="731"/>
      <c r="M5" s="731">
        <v>0.25</v>
      </c>
      <c r="N5" s="732"/>
      <c r="O5" s="731"/>
      <c r="P5" s="733">
        <v>0.25</v>
      </c>
      <c r="Q5" s="693"/>
      <c r="R5" s="1172">
        <v>25000</v>
      </c>
      <c r="S5" s="730"/>
      <c r="T5" s="730"/>
      <c r="U5" s="730">
        <v>0.25</v>
      </c>
      <c r="V5" s="730"/>
      <c r="W5" s="730"/>
      <c r="X5" s="730">
        <v>0.25</v>
      </c>
      <c r="Y5" s="731"/>
      <c r="Z5" s="731"/>
      <c r="AA5" s="731">
        <v>0.25</v>
      </c>
      <c r="AB5" s="732"/>
      <c r="AC5" s="731"/>
      <c r="AD5" s="733">
        <v>0.25</v>
      </c>
      <c r="AF5" s="1172">
        <v>30000</v>
      </c>
      <c r="AG5" s="730"/>
      <c r="AH5" s="730"/>
      <c r="AI5" s="730">
        <v>0.25</v>
      </c>
      <c r="AJ5" s="730"/>
      <c r="AK5" s="730"/>
      <c r="AL5" s="730">
        <v>0.25</v>
      </c>
      <c r="AM5" s="731"/>
      <c r="AN5" s="731"/>
      <c r="AO5" s="731">
        <v>0.25</v>
      </c>
      <c r="AP5" s="732"/>
      <c r="AQ5" s="731"/>
      <c r="AR5" s="733">
        <v>0.25</v>
      </c>
    </row>
    <row r="6" spans="1:44">
      <c r="A6" s="700"/>
      <c r="B6" s="1251"/>
      <c r="C6" s="1251"/>
      <c r="D6" s="688"/>
      <c r="E6" s="734"/>
      <c r="F6" s="734"/>
      <c r="G6" s="734"/>
      <c r="H6" s="734"/>
      <c r="I6" s="734"/>
      <c r="J6" s="734"/>
      <c r="K6" s="735"/>
      <c r="L6" s="735"/>
      <c r="M6" s="735"/>
      <c r="N6" s="736"/>
      <c r="O6" s="735"/>
      <c r="P6" s="737"/>
      <c r="Q6" s="693"/>
      <c r="R6" s="1173"/>
      <c r="S6" s="734"/>
      <c r="T6" s="734"/>
      <c r="U6" s="734"/>
      <c r="V6" s="734"/>
      <c r="W6" s="734"/>
      <c r="X6" s="734"/>
      <c r="Y6" s="735"/>
      <c r="Z6" s="735"/>
      <c r="AA6" s="735"/>
      <c r="AB6" s="736"/>
      <c r="AC6" s="735"/>
      <c r="AD6" s="737"/>
      <c r="AF6" s="1173"/>
      <c r="AG6" s="734"/>
      <c r="AH6" s="734"/>
      <c r="AI6" s="734"/>
      <c r="AJ6" s="734"/>
      <c r="AK6" s="734"/>
      <c r="AL6" s="734"/>
      <c r="AM6" s="735"/>
      <c r="AN6" s="735"/>
      <c r="AO6" s="735"/>
      <c r="AP6" s="736"/>
      <c r="AQ6" s="735"/>
      <c r="AR6" s="737"/>
    </row>
    <row r="7" spans="1:44">
      <c r="A7" s="700"/>
      <c r="B7" s="1251"/>
      <c r="C7" s="1251"/>
      <c r="D7" s="688"/>
      <c r="E7" s="734"/>
      <c r="F7" s="734"/>
      <c r="G7" s="734"/>
      <c r="H7" s="734"/>
      <c r="I7" s="734"/>
      <c r="J7" s="734"/>
      <c r="K7" s="734"/>
      <c r="L7" s="734"/>
      <c r="M7" s="734"/>
      <c r="N7" s="738"/>
      <c r="O7" s="734"/>
      <c r="P7" s="739"/>
      <c r="Q7" s="693"/>
      <c r="R7" s="1173">
        <v>2500</v>
      </c>
      <c r="S7" s="734"/>
      <c r="T7" s="734"/>
      <c r="U7" s="734"/>
      <c r="V7" s="734">
        <v>0.1</v>
      </c>
      <c r="W7" s="734">
        <v>0.2</v>
      </c>
      <c r="X7" s="734">
        <v>0.5</v>
      </c>
      <c r="Y7" s="734">
        <v>0.2</v>
      </c>
      <c r="Z7" s="734"/>
      <c r="AA7" s="734"/>
      <c r="AB7" s="738"/>
      <c r="AC7" s="734"/>
      <c r="AD7" s="739"/>
      <c r="AF7" s="1173">
        <v>2000</v>
      </c>
      <c r="AG7" s="734"/>
      <c r="AH7" s="734"/>
      <c r="AI7" s="734"/>
      <c r="AJ7" s="734">
        <v>1</v>
      </c>
      <c r="AK7" s="734"/>
      <c r="AL7" s="734"/>
      <c r="AM7" s="734"/>
      <c r="AN7" s="734"/>
      <c r="AO7" s="734"/>
      <c r="AP7" s="738"/>
      <c r="AQ7" s="734"/>
      <c r="AR7" s="739"/>
    </row>
    <row r="8" spans="1:44">
      <c r="A8" s="701"/>
      <c r="B8" s="1244"/>
      <c r="C8" s="1244"/>
      <c r="D8" s="692"/>
      <c r="E8" s="740"/>
      <c r="F8" s="740"/>
      <c r="G8" s="740"/>
      <c r="H8" s="740"/>
      <c r="I8" s="740"/>
      <c r="J8" s="740"/>
      <c r="K8" s="740"/>
      <c r="L8" s="740"/>
      <c r="M8" s="740"/>
      <c r="N8" s="741"/>
      <c r="O8" s="740"/>
      <c r="P8" s="742"/>
      <c r="R8" s="1174"/>
      <c r="S8" s="740"/>
      <c r="T8" s="740"/>
      <c r="U8" s="740"/>
      <c r="V8" s="740"/>
      <c r="W8" s="740"/>
      <c r="X8" s="740"/>
      <c r="Y8" s="740"/>
      <c r="Z8" s="740"/>
      <c r="AA8" s="740"/>
      <c r="AB8" s="741"/>
      <c r="AC8" s="740"/>
      <c r="AD8" s="742"/>
      <c r="AF8" s="1174"/>
      <c r="AG8" s="740"/>
      <c r="AH8" s="740"/>
      <c r="AI8" s="740"/>
      <c r="AJ8" s="740"/>
      <c r="AK8" s="740"/>
      <c r="AL8" s="740"/>
      <c r="AM8" s="740"/>
      <c r="AN8" s="740"/>
      <c r="AO8" s="740"/>
      <c r="AP8" s="741"/>
      <c r="AQ8" s="740"/>
      <c r="AR8" s="742"/>
    </row>
    <row r="9" spans="1:44">
      <c r="A9" s="694" t="str">
        <f>"Total "&amp;A3</f>
        <v>Total Product 1</v>
      </c>
      <c r="B9" s="695"/>
      <c r="C9" s="695"/>
      <c r="D9" s="696">
        <f>SUM(D5:D8)</f>
        <v>20000</v>
      </c>
      <c r="E9" s="683"/>
      <c r="F9" s="683"/>
      <c r="G9" s="683"/>
      <c r="H9" s="683"/>
      <c r="I9" s="683"/>
      <c r="J9" s="683"/>
      <c r="K9" s="683"/>
      <c r="L9" s="683"/>
      <c r="M9" s="683"/>
      <c r="N9" s="683"/>
      <c r="O9" s="683"/>
      <c r="P9" s="683"/>
      <c r="R9" s="696">
        <f>SUM(R5:R8)</f>
        <v>27500</v>
      </c>
      <c r="S9" s="683"/>
      <c r="T9" s="683"/>
      <c r="U9" s="683"/>
      <c r="V9" s="683"/>
      <c r="W9" s="683"/>
      <c r="X9" s="683"/>
      <c r="Y9" s="683"/>
      <c r="Z9" s="683"/>
      <c r="AA9" s="683"/>
      <c r="AB9" s="683"/>
      <c r="AC9" s="683"/>
      <c r="AD9" s="683"/>
      <c r="AF9" s="696">
        <f>SUM(AF5:AF8)</f>
        <v>32000</v>
      </c>
      <c r="AG9" s="683"/>
      <c r="AH9" s="683"/>
      <c r="AI9" s="683"/>
      <c r="AJ9" s="683"/>
      <c r="AK9" s="683"/>
      <c r="AL9" s="683"/>
      <c r="AM9" s="683"/>
      <c r="AN9" s="683"/>
      <c r="AO9" s="683"/>
      <c r="AP9" s="683"/>
      <c r="AQ9" s="683"/>
      <c r="AR9" s="683"/>
    </row>
    <row r="10" spans="1:44">
      <c r="A10" s="671"/>
      <c r="B10" s="672"/>
      <c r="C10" s="672"/>
      <c r="D10" s="686"/>
      <c r="E10" s="684"/>
      <c r="F10" s="684"/>
      <c r="G10" s="684"/>
      <c r="H10" s="684"/>
      <c r="I10" s="684"/>
      <c r="J10" s="684"/>
      <c r="K10" s="684"/>
      <c r="L10" s="684"/>
      <c r="M10" s="684"/>
      <c r="N10" s="684"/>
      <c r="O10" s="684"/>
      <c r="P10" s="682"/>
      <c r="R10" s="686"/>
      <c r="S10" s="684"/>
      <c r="T10" s="684"/>
      <c r="U10" s="684"/>
      <c r="V10" s="684"/>
      <c r="W10" s="684"/>
      <c r="X10" s="684"/>
      <c r="Y10" s="684"/>
      <c r="Z10" s="684"/>
      <c r="AA10" s="684"/>
      <c r="AB10" s="684"/>
      <c r="AC10" s="684"/>
      <c r="AD10" s="682"/>
      <c r="AF10" s="686"/>
      <c r="AG10" s="684"/>
      <c r="AH10" s="684"/>
      <c r="AI10" s="684"/>
      <c r="AJ10" s="684"/>
      <c r="AK10" s="684"/>
      <c r="AL10" s="684"/>
      <c r="AM10" s="684"/>
      <c r="AN10" s="684"/>
      <c r="AO10" s="684"/>
      <c r="AP10" s="684"/>
      <c r="AQ10" s="684"/>
      <c r="AR10" s="682"/>
    </row>
    <row r="11" spans="1:44" ht="21">
      <c r="A11" s="680" t="str">
        <f>Parameter!$D$10</f>
        <v>Product 2</v>
      </c>
      <c r="B11" s="1249"/>
      <c r="C11" s="1250"/>
      <c r="D11" s="681"/>
      <c r="E11" s="676" t="s">
        <v>465</v>
      </c>
      <c r="F11" s="677"/>
      <c r="G11" s="1081"/>
      <c r="H11" s="1081"/>
      <c r="I11" s="1243"/>
      <c r="J11" s="1243"/>
      <c r="K11" s="1243"/>
      <c r="L11" s="1243"/>
      <c r="M11" s="1243"/>
      <c r="N11" s="1243"/>
      <c r="O11" s="1243"/>
      <c r="P11" s="678"/>
      <c r="R11" s="1171"/>
      <c r="S11" s="676" t="s">
        <v>465</v>
      </c>
      <c r="T11" s="677"/>
      <c r="U11" s="1081"/>
      <c r="V11" s="1081"/>
      <c r="W11" s="1243"/>
      <c r="X11" s="1243"/>
      <c r="Y11" s="1243"/>
      <c r="Z11" s="1243"/>
      <c r="AA11" s="1243"/>
      <c r="AB11" s="1243"/>
      <c r="AC11" s="1243"/>
      <c r="AD11" s="678"/>
      <c r="AF11" s="1171"/>
      <c r="AG11" s="676" t="s">
        <v>465</v>
      </c>
      <c r="AH11" s="677"/>
      <c r="AI11" s="1081"/>
      <c r="AJ11" s="1081"/>
      <c r="AK11" s="1243"/>
      <c r="AL11" s="1243"/>
      <c r="AM11" s="1243"/>
      <c r="AN11" s="1243"/>
      <c r="AO11" s="1243"/>
      <c r="AP11" s="1243"/>
      <c r="AQ11" s="1243"/>
      <c r="AR11" s="678"/>
    </row>
    <row r="12" spans="1:44" ht="16">
      <c r="A12" s="679" t="s">
        <v>464</v>
      </c>
      <c r="B12" s="1246" t="s">
        <v>394</v>
      </c>
      <c r="C12" s="1246"/>
      <c r="D12" s="697" t="s">
        <v>463</v>
      </c>
      <c r="E12" s="673" t="s">
        <v>163</v>
      </c>
      <c r="F12" s="673" t="s">
        <v>164</v>
      </c>
      <c r="G12" s="673" t="s">
        <v>48</v>
      </c>
      <c r="H12" s="673" t="s">
        <v>7</v>
      </c>
      <c r="I12" s="673" t="s">
        <v>49</v>
      </c>
      <c r="J12" s="673" t="s">
        <v>9</v>
      </c>
      <c r="K12" s="673" t="s">
        <v>10</v>
      </c>
      <c r="L12" s="673" t="s">
        <v>11</v>
      </c>
      <c r="M12" s="673" t="s">
        <v>12</v>
      </c>
      <c r="N12" s="673" t="s">
        <v>50</v>
      </c>
      <c r="O12" s="673" t="s">
        <v>2</v>
      </c>
      <c r="P12" s="673" t="s">
        <v>51</v>
      </c>
      <c r="Q12" s="669"/>
      <c r="R12" s="697" t="s">
        <v>463</v>
      </c>
      <c r="S12" s="673" t="s">
        <v>163</v>
      </c>
      <c r="T12" s="673" t="s">
        <v>164</v>
      </c>
      <c r="U12" s="673" t="s">
        <v>48</v>
      </c>
      <c r="V12" s="673" t="s">
        <v>7</v>
      </c>
      <c r="W12" s="673" t="s">
        <v>49</v>
      </c>
      <c r="X12" s="673" t="s">
        <v>9</v>
      </c>
      <c r="Y12" s="673" t="s">
        <v>10</v>
      </c>
      <c r="Z12" s="673" t="s">
        <v>11</v>
      </c>
      <c r="AA12" s="673" t="s">
        <v>12</v>
      </c>
      <c r="AB12" s="673" t="s">
        <v>50</v>
      </c>
      <c r="AC12" s="673" t="s">
        <v>2</v>
      </c>
      <c r="AD12" s="673" t="s">
        <v>51</v>
      </c>
      <c r="AF12" s="697" t="s">
        <v>463</v>
      </c>
      <c r="AG12" s="673" t="s">
        <v>163</v>
      </c>
      <c r="AH12" s="673" t="s">
        <v>164</v>
      </c>
      <c r="AI12" s="673" t="s">
        <v>48</v>
      </c>
      <c r="AJ12" s="673" t="s">
        <v>7</v>
      </c>
      <c r="AK12" s="673" t="s">
        <v>49</v>
      </c>
      <c r="AL12" s="673" t="s">
        <v>9</v>
      </c>
      <c r="AM12" s="673" t="s">
        <v>10</v>
      </c>
      <c r="AN12" s="673" t="s">
        <v>11</v>
      </c>
      <c r="AO12" s="673" t="s">
        <v>12</v>
      </c>
      <c r="AP12" s="673" t="s">
        <v>50</v>
      </c>
      <c r="AQ12" s="673" t="s">
        <v>2</v>
      </c>
      <c r="AR12" s="673" t="s">
        <v>51</v>
      </c>
    </row>
    <row r="13" spans="1:44">
      <c r="A13" s="689" t="s">
        <v>457</v>
      </c>
      <c r="B13" s="1247" t="s">
        <v>564</v>
      </c>
      <c r="C13" s="1248"/>
      <c r="D13" s="1187">
        <v>2500</v>
      </c>
      <c r="E13" s="730">
        <v>0</v>
      </c>
      <c r="F13" s="730">
        <v>0.03</v>
      </c>
      <c r="G13" s="730">
        <v>0.05</v>
      </c>
      <c r="H13" s="730">
        <v>0.08</v>
      </c>
      <c r="I13" s="730">
        <v>0.1</v>
      </c>
      <c r="J13" s="730">
        <v>0.1</v>
      </c>
      <c r="K13" s="731">
        <v>0.1</v>
      </c>
      <c r="L13" s="731">
        <v>0.11</v>
      </c>
      <c r="M13" s="731">
        <v>0.12</v>
      </c>
      <c r="N13" s="732">
        <v>0.12</v>
      </c>
      <c r="O13" s="731">
        <v>0.12</v>
      </c>
      <c r="P13" s="733">
        <v>7.0000000000000007E-2</v>
      </c>
      <c r="Q13" s="693">
        <f>SUM(E13:P13)</f>
        <v>1</v>
      </c>
      <c r="R13" s="1190">
        <v>3500</v>
      </c>
      <c r="S13" s="730">
        <v>0</v>
      </c>
      <c r="T13" s="730">
        <v>0.03</v>
      </c>
      <c r="U13" s="730">
        <v>0.05</v>
      </c>
      <c r="V13" s="730">
        <v>0.08</v>
      </c>
      <c r="W13" s="730">
        <v>0.1</v>
      </c>
      <c r="X13" s="730">
        <v>0.1</v>
      </c>
      <c r="Y13" s="731">
        <v>0.1</v>
      </c>
      <c r="Z13" s="731">
        <v>0.11</v>
      </c>
      <c r="AA13" s="731">
        <v>0.12</v>
      </c>
      <c r="AB13" s="732">
        <v>0.12</v>
      </c>
      <c r="AC13" s="731">
        <v>0.12</v>
      </c>
      <c r="AD13" s="733">
        <v>7.0000000000000007E-2</v>
      </c>
      <c r="AF13" s="1190">
        <v>6000</v>
      </c>
      <c r="AG13" s="730">
        <v>0</v>
      </c>
      <c r="AH13" s="730">
        <v>0.03</v>
      </c>
      <c r="AI13" s="730">
        <v>0.05</v>
      </c>
      <c r="AJ13" s="730">
        <v>0.08</v>
      </c>
      <c r="AK13" s="730">
        <v>0.1</v>
      </c>
      <c r="AL13" s="730">
        <v>0.1</v>
      </c>
      <c r="AM13" s="731">
        <v>0.1</v>
      </c>
      <c r="AN13" s="731">
        <v>0.11</v>
      </c>
      <c r="AO13" s="731">
        <v>0.12</v>
      </c>
      <c r="AP13" s="732">
        <v>0.12</v>
      </c>
      <c r="AQ13" s="731">
        <v>0.12</v>
      </c>
      <c r="AR13" s="733">
        <v>7.0000000000000007E-2</v>
      </c>
    </row>
    <row r="14" spans="1:44">
      <c r="A14" s="690"/>
      <c r="B14" s="1251"/>
      <c r="C14" s="1251"/>
      <c r="D14" s="1188"/>
      <c r="E14" s="734"/>
      <c r="F14" s="734"/>
      <c r="G14" s="734"/>
      <c r="H14" s="734"/>
      <c r="I14" s="734"/>
      <c r="J14" s="734"/>
      <c r="K14" s="735"/>
      <c r="L14" s="735"/>
      <c r="M14" s="735"/>
      <c r="N14" s="736"/>
      <c r="O14" s="735"/>
      <c r="P14" s="737"/>
      <c r="Q14" s="693"/>
      <c r="R14" s="1191"/>
      <c r="S14" s="734"/>
      <c r="T14" s="734"/>
      <c r="U14" s="734"/>
      <c r="V14" s="734"/>
      <c r="W14" s="734"/>
      <c r="X14" s="734"/>
      <c r="Y14" s="735"/>
      <c r="Z14" s="735"/>
      <c r="AA14" s="735"/>
      <c r="AB14" s="736"/>
      <c r="AC14" s="735"/>
      <c r="AD14" s="737"/>
      <c r="AF14" s="1191"/>
      <c r="AG14" s="734"/>
      <c r="AH14" s="734"/>
      <c r="AI14" s="734"/>
      <c r="AJ14" s="734"/>
      <c r="AK14" s="734"/>
      <c r="AL14" s="734"/>
      <c r="AM14" s="735"/>
      <c r="AN14" s="735"/>
      <c r="AO14" s="735"/>
      <c r="AP14" s="736"/>
      <c r="AQ14" s="735"/>
      <c r="AR14" s="737"/>
    </row>
    <row r="15" spans="1:44">
      <c r="A15" s="690"/>
      <c r="B15" s="1251"/>
      <c r="C15" s="1251"/>
      <c r="D15" s="1188"/>
      <c r="E15" s="734"/>
      <c r="F15" s="734"/>
      <c r="G15" s="734"/>
      <c r="H15" s="734"/>
      <c r="I15" s="734"/>
      <c r="J15" s="734"/>
      <c r="K15" s="734"/>
      <c r="L15" s="734"/>
      <c r="M15" s="734"/>
      <c r="N15" s="738"/>
      <c r="O15" s="734"/>
      <c r="P15" s="739"/>
      <c r="Q15" s="693"/>
      <c r="R15" s="1191"/>
      <c r="S15" s="734"/>
      <c r="T15" s="734"/>
      <c r="U15" s="734"/>
      <c r="V15" s="734"/>
      <c r="W15" s="734"/>
      <c r="X15" s="734"/>
      <c r="Y15" s="734"/>
      <c r="Z15" s="734"/>
      <c r="AA15" s="734"/>
      <c r="AB15" s="738"/>
      <c r="AC15" s="734"/>
      <c r="AD15" s="739"/>
      <c r="AF15" s="1191"/>
      <c r="AG15" s="734"/>
      <c r="AH15" s="734"/>
      <c r="AI15" s="734"/>
      <c r="AJ15" s="734"/>
      <c r="AK15" s="734"/>
      <c r="AL15" s="734"/>
      <c r="AM15" s="734"/>
      <c r="AN15" s="734"/>
      <c r="AO15" s="734"/>
      <c r="AP15" s="738"/>
      <c r="AQ15" s="734"/>
      <c r="AR15" s="739"/>
    </row>
    <row r="16" spans="1:44">
      <c r="A16" s="691"/>
      <c r="B16" s="1244"/>
      <c r="C16" s="1244"/>
      <c r="D16" s="1189"/>
      <c r="E16" s="740"/>
      <c r="F16" s="740"/>
      <c r="G16" s="740"/>
      <c r="H16" s="740"/>
      <c r="I16" s="740"/>
      <c r="J16" s="740"/>
      <c r="K16" s="740"/>
      <c r="L16" s="740"/>
      <c r="M16" s="740"/>
      <c r="N16" s="741"/>
      <c r="O16" s="740"/>
      <c r="P16" s="742"/>
      <c r="R16" s="1192"/>
      <c r="S16" s="740"/>
      <c r="T16" s="740"/>
      <c r="U16" s="740"/>
      <c r="V16" s="740"/>
      <c r="W16" s="740"/>
      <c r="X16" s="740"/>
      <c r="Y16" s="740"/>
      <c r="Z16" s="740"/>
      <c r="AA16" s="740"/>
      <c r="AB16" s="741"/>
      <c r="AC16" s="740"/>
      <c r="AD16" s="742"/>
      <c r="AF16" s="1192"/>
      <c r="AG16" s="740"/>
      <c r="AH16" s="740"/>
      <c r="AI16" s="740"/>
      <c r="AJ16" s="740"/>
      <c r="AK16" s="740"/>
      <c r="AL16" s="740"/>
      <c r="AM16" s="740"/>
      <c r="AN16" s="740"/>
      <c r="AO16" s="740"/>
      <c r="AP16" s="741"/>
      <c r="AQ16" s="740"/>
      <c r="AR16" s="742"/>
    </row>
    <row r="17" spans="1:44">
      <c r="A17" s="694" t="str">
        <f>"Total "&amp;A11</f>
        <v>Total Product 2</v>
      </c>
      <c r="B17" s="695"/>
      <c r="C17" s="695"/>
      <c r="D17" s="1193">
        <f>SUM(D13:D16)</f>
        <v>2500</v>
      </c>
      <c r="E17" s="683"/>
      <c r="F17" s="683"/>
      <c r="G17" s="683"/>
      <c r="H17" s="683"/>
      <c r="I17" s="683"/>
      <c r="J17" s="683"/>
      <c r="K17" s="683"/>
      <c r="L17" s="683"/>
      <c r="M17" s="683"/>
      <c r="N17" s="683"/>
      <c r="O17" s="683"/>
      <c r="P17" s="683"/>
      <c r="R17" s="1193">
        <f>SUM(R13:R16)</f>
        <v>3500</v>
      </c>
      <c r="S17" s="683"/>
      <c r="T17" s="683"/>
      <c r="U17" s="683"/>
      <c r="V17" s="683"/>
      <c r="W17" s="683"/>
      <c r="X17" s="683"/>
      <c r="Y17" s="683"/>
      <c r="Z17" s="683"/>
      <c r="AA17" s="683"/>
      <c r="AB17" s="683"/>
      <c r="AC17" s="683"/>
      <c r="AD17" s="683"/>
      <c r="AF17" s="1193">
        <f>SUM(AF13:AF16)</f>
        <v>6000</v>
      </c>
      <c r="AG17" s="683"/>
      <c r="AH17" s="683"/>
      <c r="AI17" s="683"/>
      <c r="AJ17" s="683"/>
      <c r="AK17" s="683"/>
      <c r="AL17" s="683"/>
      <c r="AM17" s="683"/>
      <c r="AN17" s="683"/>
      <c r="AO17" s="683"/>
      <c r="AP17" s="683"/>
      <c r="AQ17" s="683"/>
      <c r="AR17" s="683"/>
    </row>
    <row r="18" spans="1:44">
      <c r="A18" s="674"/>
      <c r="B18" s="675"/>
      <c r="C18" s="675"/>
      <c r="D18" s="685"/>
      <c r="E18" s="683"/>
      <c r="F18" s="683"/>
      <c r="G18" s="683"/>
      <c r="H18" s="683"/>
      <c r="I18" s="683"/>
      <c r="J18" s="683"/>
      <c r="K18" s="683"/>
      <c r="L18" s="683"/>
      <c r="M18" s="683"/>
      <c r="N18" s="683"/>
      <c r="O18" s="683"/>
      <c r="P18" s="683"/>
      <c r="R18" s="685"/>
      <c r="S18" s="683"/>
      <c r="T18" s="683"/>
      <c r="U18" s="683"/>
      <c r="V18" s="683"/>
      <c r="W18" s="683"/>
      <c r="X18" s="683"/>
      <c r="Y18" s="683"/>
      <c r="Z18" s="683"/>
      <c r="AA18" s="683"/>
      <c r="AB18" s="683"/>
      <c r="AC18" s="683"/>
      <c r="AD18" s="683"/>
      <c r="AF18" s="685"/>
      <c r="AG18" s="683"/>
      <c r="AH18" s="683"/>
      <c r="AI18" s="683"/>
      <c r="AJ18" s="683"/>
      <c r="AK18" s="683"/>
      <c r="AL18" s="683"/>
      <c r="AM18" s="683"/>
      <c r="AN18" s="683"/>
      <c r="AO18" s="683"/>
      <c r="AP18" s="683"/>
      <c r="AQ18" s="683"/>
      <c r="AR18" s="683"/>
    </row>
    <row r="19" spans="1:44" ht="21">
      <c r="A19" s="680" t="str">
        <f>Parameter!$D$11</f>
        <v>Product 3</v>
      </c>
      <c r="B19" s="1249"/>
      <c r="C19" s="1250"/>
      <c r="D19" s="681"/>
      <c r="E19" s="676" t="s">
        <v>465</v>
      </c>
      <c r="F19" s="677"/>
      <c r="G19" s="1081"/>
      <c r="H19" s="1081"/>
      <c r="I19" s="1243"/>
      <c r="J19" s="1243"/>
      <c r="K19" s="1243"/>
      <c r="L19" s="1243"/>
      <c r="M19" s="1243"/>
      <c r="N19" s="1243"/>
      <c r="O19" s="1243"/>
      <c r="P19" s="678"/>
      <c r="R19" s="1171"/>
      <c r="S19" s="676" t="s">
        <v>465</v>
      </c>
      <c r="T19" s="677"/>
      <c r="U19" s="1081"/>
      <c r="V19" s="1081"/>
      <c r="W19" s="1243"/>
      <c r="X19" s="1243"/>
      <c r="Y19" s="1243"/>
      <c r="Z19" s="1243"/>
      <c r="AA19" s="1243"/>
      <c r="AB19" s="1243"/>
      <c r="AC19" s="1243"/>
      <c r="AD19" s="678"/>
      <c r="AF19" s="1171"/>
      <c r="AG19" s="676" t="s">
        <v>465</v>
      </c>
      <c r="AH19" s="677"/>
      <c r="AI19" s="1081"/>
      <c r="AJ19" s="1081"/>
      <c r="AK19" s="1243"/>
      <c r="AL19" s="1243"/>
      <c r="AM19" s="1243"/>
      <c r="AN19" s="1243"/>
      <c r="AO19" s="1243"/>
      <c r="AP19" s="1243"/>
      <c r="AQ19" s="1243"/>
      <c r="AR19" s="678"/>
    </row>
    <row r="20" spans="1:44" ht="16">
      <c r="A20" s="679" t="s">
        <v>464</v>
      </c>
      <c r="B20" s="1246" t="s">
        <v>394</v>
      </c>
      <c r="C20" s="1246"/>
      <c r="D20" s="697" t="s">
        <v>463</v>
      </c>
      <c r="E20" s="673" t="s">
        <v>163</v>
      </c>
      <c r="F20" s="673" t="s">
        <v>164</v>
      </c>
      <c r="G20" s="673" t="s">
        <v>48</v>
      </c>
      <c r="H20" s="673" t="s">
        <v>7</v>
      </c>
      <c r="I20" s="673" t="s">
        <v>49</v>
      </c>
      <c r="J20" s="673" t="s">
        <v>9</v>
      </c>
      <c r="K20" s="673" t="s">
        <v>10</v>
      </c>
      <c r="L20" s="673" t="s">
        <v>11</v>
      </c>
      <c r="M20" s="673" t="s">
        <v>12</v>
      </c>
      <c r="N20" s="673" t="s">
        <v>50</v>
      </c>
      <c r="O20" s="673" t="s">
        <v>2</v>
      </c>
      <c r="P20" s="673" t="s">
        <v>51</v>
      </c>
      <c r="Q20" s="669"/>
      <c r="R20" s="697" t="s">
        <v>463</v>
      </c>
      <c r="S20" s="673" t="s">
        <v>163</v>
      </c>
      <c r="T20" s="673" t="s">
        <v>164</v>
      </c>
      <c r="U20" s="673" t="s">
        <v>48</v>
      </c>
      <c r="V20" s="673" t="s">
        <v>7</v>
      </c>
      <c r="W20" s="673" t="s">
        <v>49</v>
      </c>
      <c r="X20" s="673" t="s">
        <v>9</v>
      </c>
      <c r="Y20" s="673" t="s">
        <v>10</v>
      </c>
      <c r="Z20" s="673" t="s">
        <v>11</v>
      </c>
      <c r="AA20" s="673" t="s">
        <v>12</v>
      </c>
      <c r="AB20" s="673" t="s">
        <v>50</v>
      </c>
      <c r="AC20" s="673" t="s">
        <v>2</v>
      </c>
      <c r="AD20" s="673" t="s">
        <v>51</v>
      </c>
      <c r="AF20" s="697" t="s">
        <v>463</v>
      </c>
      <c r="AG20" s="673" t="s">
        <v>163</v>
      </c>
      <c r="AH20" s="673" t="s">
        <v>164</v>
      </c>
      <c r="AI20" s="673" t="s">
        <v>48</v>
      </c>
      <c r="AJ20" s="673" t="s">
        <v>7</v>
      </c>
      <c r="AK20" s="673" t="s">
        <v>49</v>
      </c>
      <c r="AL20" s="673" t="s">
        <v>9</v>
      </c>
      <c r="AM20" s="673" t="s">
        <v>10</v>
      </c>
      <c r="AN20" s="673" t="s">
        <v>11</v>
      </c>
      <c r="AO20" s="673" t="s">
        <v>12</v>
      </c>
      <c r="AP20" s="673" t="s">
        <v>50</v>
      </c>
      <c r="AQ20" s="673" t="s">
        <v>2</v>
      </c>
      <c r="AR20" s="673" t="s">
        <v>51</v>
      </c>
    </row>
    <row r="21" spans="1:44">
      <c r="A21" s="689" t="s">
        <v>574</v>
      </c>
      <c r="B21" s="1247" t="s">
        <v>459</v>
      </c>
      <c r="C21" s="1248"/>
      <c r="D21" s="687">
        <v>15000</v>
      </c>
      <c r="E21" s="730">
        <v>8.3333000000000004E-2</v>
      </c>
      <c r="F21" s="730">
        <v>8.3333000000000004E-2</v>
      </c>
      <c r="G21" s="730">
        <v>8.3333000000000004E-2</v>
      </c>
      <c r="H21" s="730">
        <v>8.3333000000000004E-2</v>
      </c>
      <c r="I21" s="730">
        <v>8.3333000000000004E-2</v>
      </c>
      <c r="J21" s="730">
        <v>8.3333000000000004E-2</v>
      </c>
      <c r="K21" s="731">
        <v>8.3333000000000004E-2</v>
      </c>
      <c r="L21" s="731">
        <v>8.3333000000000004E-2</v>
      </c>
      <c r="M21" s="731">
        <v>8.3333000000000004E-2</v>
      </c>
      <c r="N21" s="732">
        <v>8.3333000000000004E-2</v>
      </c>
      <c r="O21" s="731">
        <v>8.3333000000000004E-2</v>
      </c>
      <c r="P21" s="733">
        <v>8.3333000000000004E-2</v>
      </c>
      <c r="Q21" s="693"/>
      <c r="R21" s="1172">
        <v>30000</v>
      </c>
      <c r="S21" s="730">
        <v>8.3333000000000004E-2</v>
      </c>
      <c r="T21" s="730">
        <v>8.3333000000000004E-2</v>
      </c>
      <c r="U21" s="730">
        <v>8.3333000000000004E-2</v>
      </c>
      <c r="V21" s="730">
        <v>8.3333000000000004E-2</v>
      </c>
      <c r="W21" s="730">
        <v>8.3333000000000004E-2</v>
      </c>
      <c r="X21" s="730">
        <v>8.3333000000000004E-2</v>
      </c>
      <c r="Y21" s="731">
        <v>8.3333000000000004E-2</v>
      </c>
      <c r="Z21" s="731">
        <v>8.3333000000000004E-2</v>
      </c>
      <c r="AA21" s="731">
        <v>8.3333000000000004E-2</v>
      </c>
      <c r="AB21" s="732">
        <v>8.3333000000000004E-2</v>
      </c>
      <c r="AC21" s="731">
        <v>8.3333000000000004E-2</v>
      </c>
      <c r="AD21" s="733">
        <v>8.3333000000000004E-2</v>
      </c>
      <c r="AF21" s="1172">
        <v>75000</v>
      </c>
      <c r="AG21" s="730">
        <v>8.3333000000000004E-2</v>
      </c>
      <c r="AH21" s="730">
        <v>8.3333000000000004E-2</v>
      </c>
      <c r="AI21" s="730">
        <v>8.3333000000000004E-2</v>
      </c>
      <c r="AJ21" s="730">
        <v>8.3333000000000004E-2</v>
      </c>
      <c r="AK21" s="730">
        <v>8.3333000000000004E-2</v>
      </c>
      <c r="AL21" s="730">
        <v>8.3333000000000004E-2</v>
      </c>
      <c r="AM21" s="731">
        <v>8.3333000000000004E-2</v>
      </c>
      <c r="AN21" s="731">
        <v>8.3333000000000004E-2</v>
      </c>
      <c r="AO21" s="731">
        <v>8.3333000000000004E-2</v>
      </c>
      <c r="AP21" s="732">
        <v>8.3333000000000004E-2</v>
      </c>
      <c r="AQ21" s="731">
        <v>8.3333000000000004E-2</v>
      </c>
      <c r="AR21" s="733">
        <v>8.3333000000000004E-2</v>
      </c>
    </row>
    <row r="22" spans="1:44">
      <c r="A22" s="690" t="s">
        <v>575</v>
      </c>
      <c r="B22" s="1252"/>
      <c r="C22" s="1252"/>
      <c r="D22" s="688">
        <v>1000</v>
      </c>
      <c r="E22" s="734"/>
      <c r="F22" s="734"/>
      <c r="G22" s="734"/>
      <c r="H22" s="734">
        <v>1</v>
      </c>
      <c r="I22" s="734"/>
      <c r="J22" s="734"/>
      <c r="K22" s="735"/>
      <c r="L22" s="735"/>
      <c r="M22" s="735"/>
      <c r="N22" s="736"/>
      <c r="O22" s="735"/>
      <c r="P22" s="737"/>
      <c r="Q22" s="693"/>
      <c r="R22" s="1173">
        <v>1000</v>
      </c>
      <c r="S22" s="734"/>
      <c r="T22" s="734"/>
      <c r="U22" s="734">
        <v>1</v>
      </c>
      <c r="V22" s="734"/>
      <c r="W22" s="734"/>
      <c r="X22" s="734"/>
      <c r="Y22" s="735"/>
      <c r="Z22" s="735"/>
      <c r="AA22" s="735"/>
      <c r="AB22" s="736"/>
      <c r="AC22" s="735"/>
      <c r="AD22" s="737"/>
      <c r="AF22" s="1173">
        <v>2500</v>
      </c>
      <c r="AG22" s="734"/>
      <c r="AH22" s="734"/>
      <c r="AI22" s="734"/>
      <c r="AJ22" s="734"/>
      <c r="AK22" s="734">
        <v>1</v>
      </c>
      <c r="AL22" s="734"/>
      <c r="AM22" s="735"/>
      <c r="AN22" s="735"/>
      <c r="AO22" s="735"/>
      <c r="AP22" s="736"/>
      <c r="AQ22" s="735"/>
      <c r="AR22" s="737"/>
    </row>
    <row r="23" spans="1:44">
      <c r="A23" s="690"/>
      <c r="B23" s="1251"/>
      <c r="C23" s="1251"/>
      <c r="D23" s="688"/>
      <c r="E23" s="734"/>
      <c r="F23" s="734"/>
      <c r="G23" s="734"/>
      <c r="H23" s="734"/>
      <c r="I23" s="734"/>
      <c r="J23" s="734"/>
      <c r="K23" s="734"/>
      <c r="L23" s="734"/>
      <c r="M23" s="734"/>
      <c r="N23" s="738"/>
      <c r="O23" s="734"/>
      <c r="P23" s="739"/>
      <c r="Q23" s="693"/>
      <c r="R23" s="1173"/>
      <c r="S23" s="734"/>
      <c r="T23" s="734"/>
      <c r="U23" s="734"/>
      <c r="V23" s="734"/>
      <c r="W23" s="734"/>
      <c r="X23" s="734"/>
      <c r="Y23" s="734"/>
      <c r="Z23" s="734"/>
      <c r="AA23" s="734"/>
      <c r="AB23" s="738"/>
      <c r="AC23" s="734"/>
      <c r="AD23" s="739"/>
      <c r="AF23" s="1173"/>
      <c r="AG23" s="734"/>
      <c r="AH23" s="734"/>
      <c r="AI23" s="734"/>
      <c r="AJ23" s="734"/>
      <c r="AK23" s="734"/>
      <c r="AL23" s="734"/>
      <c r="AM23" s="734"/>
      <c r="AN23" s="734"/>
      <c r="AO23" s="734"/>
      <c r="AP23" s="738"/>
      <c r="AQ23" s="734"/>
      <c r="AR23" s="739"/>
    </row>
    <row r="24" spans="1:44">
      <c r="A24" s="691"/>
      <c r="B24" s="1244"/>
      <c r="C24" s="1244"/>
      <c r="D24" s="692"/>
      <c r="E24" s="740"/>
      <c r="F24" s="740"/>
      <c r="G24" s="740"/>
      <c r="H24" s="740"/>
      <c r="I24" s="740"/>
      <c r="J24" s="740"/>
      <c r="K24" s="740"/>
      <c r="L24" s="740"/>
      <c r="M24" s="740"/>
      <c r="N24" s="741"/>
      <c r="O24" s="740"/>
      <c r="P24" s="742"/>
      <c r="R24" s="1174"/>
      <c r="S24" s="740"/>
      <c r="T24" s="740"/>
      <c r="U24" s="740"/>
      <c r="V24" s="740"/>
      <c r="W24" s="740"/>
      <c r="X24" s="740"/>
      <c r="Y24" s="740"/>
      <c r="Z24" s="740"/>
      <c r="AA24" s="740"/>
      <c r="AB24" s="741"/>
      <c r="AC24" s="740"/>
      <c r="AD24" s="742"/>
      <c r="AF24" s="1174"/>
      <c r="AG24" s="740"/>
      <c r="AH24" s="740"/>
      <c r="AI24" s="740"/>
      <c r="AJ24" s="740"/>
      <c r="AK24" s="740"/>
      <c r="AL24" s="740"/>
      <c r="AM24" s="740"/>
      <c r="AN24" s="740"/>
      <c r="AO24" s="740"/>
      <c r="AP24" s="741"/>
      <c r="AQ24" s="740"/>
      <c r="AR24" s="742"/>
    </row>
    <row r="25" spans="1:44">
      <c r="A25" s="694" t="str">
        <f>"Total "&amp;A19</f>
        <v>Total Product 3</v>
      </c>
      <c r="B25" s="695"/>
      <c r="C25" s="695"/>
      <c r="D25" s="696">
        <f>SUM(D21:D24)</f>
        <v>16000</v>
      </c>
      <c r="E25" s="683"/>
      <c r="F25" s="683"/>
      <c r="G25" s="683"/>
      <c r="H25" s="683"/>
      <c r="I25" s="683"/>
      <c r="J25" s="683"/>
      <c r="K25" s="683"/>
      <c r="L25" s="683"/>
      <c r="M25" s="683"/>
      <c r="N25" s="683"/>
      <c r="O25" s="683"/>
      <c r="P25" s="683"/>
      <c r="R25" s="696">
        <f>SUM(R21:R24)</f>
        <v>31000</v>
      </c>
      <c r="S25" s="683"/>
      <c r="T25" s="683"/>
      <c r="U25" s="683"/>
      <c r="V25" s="683"/>
      <c r="W25" s="683"/>
      <c r="X25" s="683"/>
      <c r="Y25" s="683"/>
      <c r="Z25" s="683"/>
      <c r="AA25" s="683"/>
      <c r="AB25" s="683"/>
      <c r="AC25" s="683"/>
      <c r="AD25" s="683"/>
      <c r="AF25" s="696">
        <f>SUM(AF21:AF24)</f>
        <v>77500</v>
      </c>
      <c r="AG25" s="683"/>
      <c r="AH25" s="683"/>
      <c r="AI25" s="683"/>
      <c r="AJ25" s="683"/>
      <c r="AK25" s="683"/>
      <c r="AL25" s="683"/>
      <c r="AM25" s="683"/>
      <c r="AN25" s="683"/>
      <c r="AO25" s="683"/>
      <c r="AP25" s="683"/>
      <c r="AQ25" s="683"/>
      <c r="AR25" s="683"/>
    </row>
    <row r="26" spans="1:44">
      <c r="A26" s="674"/>
      <c r="B26" s="675"/>
      <c r="C26" s="675"/>
      <c r="D26" s="685"/>
      <c r="E26" s="683"/>
      <c r="F26" s="683"/>
      <c r="G26" s="683"/>
      <c r="H26" s="683"/>
      <c r="I26" s="683"/>
      <c r="J26" s="683"/>
      <c r="K26" s="683"/>
      <c r="L26" s="683"/>
      <c r="M26" s="683"/>
      <c r="N26" s="683"/>
      <c r="O26" s="683"/>
      <c r="P26" s="683"/>
      <c r="R26" s="685"/>
      <c r="S26" s="683"/>
      <c r="T26" s="683"/>
      <c r="U26" s="683"/>
      <c r="V26" s="683"/>
      <c r="W26" s="683"/>
      <c r="X26" s="683"/>
      <c r="Y26" s="683"/>
      <c r="Z26" s="683"/>
      <c r="AA26" s="683"/>
      <c r="AB26" s="683"/>
      <c r="AC26" s="683"/>
      <c r="AD26" s="683"/>
      <c r="AF26" s="685"/>
      <c r="AG26" s="683"/>
      <c r="AH26" s="683"/>
      <c r="AI26" s="683"/>
      <c r="AJ26" s="683"/>
      <c r="AK26" s="683"/>
      <c r="AL26" s="683"/>
      <c r="AM26" s="683"/>
      <c r="AN26" s="683"/>
      <c r="AO26" s="683"/>
      <c r="AP26" s="683"/>
      <c r="AQ26" s="683"/>
      <c r="AR26" s="683"/>
    </row>
    <row r="27" spans="1:44" ht="21">
      <c r="A27" s="680" t="str">
        <f>Parameter!$D$12</f>
        <v>Product 4</v>
      </c>
      <c r="B27" s="1249"/>
      <c r="C27" s="1250"/>
      <c r="D27" s="681"/>
      <c r="E27" s="676" t="s">
        <v>465</v>
      </c>
      <c r="F27" s="677"/>
      <c r="G27" s="1081"/>
      <c r="H27" s="1081"/>
      <c r="I27" s="1243"/>
      <c r="J27" s="1243"/>
      <c r="K27" s="1243"/>
      <c r="L27" s="1243"/>
      <c r="M27" s="1243"/>
      <c r="N27" s="1243"/>
      <c r="O27" s="1243"/>
      <c r="P27" s="678"/>
      <c r="R27" s="1171"/>
      <c r="S27" s="676" t="s">
        <v>465</v>
      </c>
      <c r="T27" s="677"/>
      <c r="U27" s="1081"/>
      <c r="V27" s="1081"/>
      <c r="W27" s="1243"/>
      <c r="X27" s="1243"/>
      <c r="Y27" s="1243"/>
      <c r="Z27" s="1243"/>
      <c r="AA27" s="1243"/>
      <c r="AB27" s="1243"/>
      <c r="AC27" s="1243"/>
      <c r="AD27" s="678"/>
      <c r="AF27" s="1171"/>
      <c r="AG27" s="676" t="s">
        <v>465</v>
      </c>
      <c r="AH27" s="677"/>
      <c r="AI27" s="1081"/>
      <c r="AJ27" s="1081"/>
      <c r="AK27" s="1243"/>
      <c r="AL27" s="1243"/>
      <c r="AM27" s="1243"/>
      <c r="AN27" s="1243"/>
      <c r="AO27" s="1243"/>
      <c r="AP27" s="1243"/>
      <c r="AQ27" s="1243"/>
      <c r="AR27" s="678"/>
    </row>
    <row r="28" spans="1:44" ht="16">
      <c r="A28" s="679" t="s">
        <v>464</v>
      </c>
      <c r="B28" s="1246" t="s">
        <v>394</v>
      </c>
      <c r="C28" s="1246"/>
      <c r="D28" s="697" t="s">
        <v>463</v>
      </c>
      <c r="E28" s="673" t="s">
        <v>163</v>
      </c>
      <c r="F28" s="673" t="s">
        <v>164</v>
      </c>
      <c r="G28" s="673" t="s">
        <v>48</v>
      </c>
      <c r="H28" s="673" t="s">
        <v>7</v>
      </c>
      <c r="I28" s="673" t="s">
        <v>49</v>
      </c>
      <c r="J28" s="673" t="s">
        <v>9</v>
      </c>
      <c r="K28" s="673" t="s">
        <v>10</v>
      </c>
      <c r="L28" s="673" t="s">
        <v>11</v>
      </c>
      <c r="M28" s="673" t="s">
        <v>12</v>
      </c>
      <c r="N28" s="673" t="s">
        <v>50</v>
      </c>
      <c r="O28" s="673" t="s">
        <v>2</v>
      </c>
      <c r="P28" s="673" t="s">
        <v>51</v>
      </c>
      <c r="Q28" s="669"/>
      <c r="R28" s="697" t="s">
        <v>463</v>
      </c>
      <c r="S28" s="673" t="s">
        <v>163</v>
      </c>
      <c r="T28" s="673" t="s">
        <v>164</v>
      </c>
      <c r="U28" s="673" t="s">
        <v>48</v>
      </c>
      <c r="V28" s="673" t="s">
        <v>7</v>
      </c>
      <c r="W28" s="673" t="s">
        <v>49</v>
      </c>
      <c r="X28" s="673" t="s">
        <v>9</v>
      </c>
      <c r="Y28" s="673" t="s">
        <v>10</v>
      </c>
      <c r="Z28" s="673" t="s">
        <v>11</v>
      </c>
      <c r="AA28" s="673" t="s">
        <v>12</v>
      </c>
      <c r="AB28" s="673" t="s">
        <v>50</v>
      </c>
      <c r="AC28" s="673" t="s">
        <v>2</v>
      </c>
      <c r="AD28" s="673" t="s">
        <v>51</v>
      </c>
      <c r="AF28" s="697" t="s">
        <v>463</v>
      </c>
      <c r="AG28" s="673" t="s">
        <v>163</v>
      </c>
      <c r="AH28" s="673" t="s">
        <v>164</v>
      </c>
      <c r="AI28" s="673" t="s">
        <v>48</v>
      </c>
      <c r="AJ28" s="673" t="s">
        <v>7</v>
      </c>
      <c r="AK28" s="673" t="s">
        <v>49</v>
      </c>
      <c r="AL28" s="673" t="s">
        <v>9</v>
      </c>
      <c r="AM28" s="673" t="s">
        <v>10</v>
      </c>
      <c r="AN28" s="673" t="s">
        <v>11</v>
      </c>
      <c r="AO28" s="673" t="s">
        <v>12</v>
      </c>
      <c r="AP28" s="673" t="s">
        <v>50</v>
      </c>
      <c r="AQ28" s="673" t="s">
        <v>2</v>
      </c>
      <c r="AR28" s="673" t="s">
        <v>51</v>
      </c>
    </row>
    <row r="29" spans="1:44">
      <c r="A29" s="689" t="s">
        <v>479</v>
      </c>
      <c r="B29" s="1247"/>
      <c r="C29" s="1248"/>
      <c r="D29" s="687">
        <v>1000</v>
      </c>
      <c r="E29" s="730"/>
      <c r="F29" s="730">
        <v>0.3</v>
      </c>
      <c r="G29" s="730"/>
      <c r="H29" s="730"/>
      <c r="I29" s="730">
        <v>0.3</v>
      </c>
      <c r="J29" s="730"/>
      <c r="K29" s="731"/>
      <c r="L29" s="731"/>
      <c r="M29" s="731">
        <v>0.4</v>
      </c>
      <c r="N29" s="732"/>
      <c r="O29" s="731"/>
      <c r="P29" s="733"/>
      <c r="Q29" s="693"/>
      <c r="R29" s="1172">
        <v>1000</v>
      </c>
      <c r="S29" s="730"/>
      <c r="T29" s="730">
        <v>0.3</v>
      </c>
      <c r="U29" s="730"/>
      <c r="V29" s="730"/>
      <c r="W29" s="730">
        <v>0.3</v>
      </c>
      <c r="X29" s="730"/>
      <c r="Y29" s="731"/>
      <c r="Z29" s="731">
        <v>0.4</v>
      </c>
      <c r="AA29" s="731"/>
      <c r="AB29" s="732"/>
      <c r="AC29" s="731"/>
      <c r="AD29" s="733"/>
      <c r="AF29" s="1172">
        <v>1000</v>
      </c>
      <c r="AG29" s="730"/>
      <c r="AH29" s="730">
        <v>0.3</v>
      </c>
      <c r="AI29" s="730"/>
      <c r="AJ29" s="730"/>
      <c r="AK29" s="730">
        <v>0.3</v>
      </c>
      <c r="AL29" s="730"/>
      <c r="AM29" s="731"/>
      <c r="AN29" s="731"/>
      <c r="AO29" s="1105"/>
      <c r="AP29" s="732">
        <v>0.4</v>
      </c>
      <c r="AQ29" s="731"/>
      <c r="AR29" s="733"/>
    </row>
    <row r="30" spans="1:44">
      <c r="A30" s="690"/>
      <c r="B30" s="1251"/>
      <c r="C30" s="1251"/>
      <c r="D30" s="688"/>
      <c r="E30" s="734"/>
      <c r="F30" s="734"/>
      <c r="G30" s="734"/>
      <c r="H30" s="734"/>
      <c r="I30" s="734"/>
      <c r="J30" s="734"/>
      <c r="K30" s="735"/>
      <c r="L30" s="735"/>
      <c r="M30" s="735"/>
      <c r="N30" s="736"/>
      <c r="O30" s="735"/>
      <c r="P30" s="737"/>
      <c r="Q30" s="693"/>
      <c r="R30" s="1173"/>
      <c r="S30" s="734"/>
      <c r="T30" s="734"/>
      <c r="U30" s="734"/>
      <c r="V30" s="734"/>
      <c r="W30" s="734"/>
      <c r="X30" s="734"/>
      <c r="Y30" s="735"/>
      <c r="Z30" s="735"/>
      <c r="AA30" s="735"/>
      <c r="AB30" s="736"/>
      <c r="AC30" s="735"/>
      <c r="AD30" s="737"/>
      <c r="AF30" s="1173">
        <v>1000</v>
      </c>
      <c r="AG30" s="734"/>
      <c r="AH30" s="734"/>
      <c r="AI30" s="734"/>
      <c r="AJ30" s="734"/>
      <c r="AK30" s="734"/>
      <c r="AL30" s="734"/>
      <c r="AM30" s="735">
        <v>0.8</v>
      </c>
      <c r="AN30" s="735">
        <v>0.2</v>
      </c>
      <c r="AO30" s="735"/>
      <c r="AP30" s="736"/>
      <c r="AQ30" s="735"/>
      <c r="AR30" s="737"/>
    </row>
    <row r="31" spans="1:44">
      <c r="A31" s="690"/>
      <c r="B31" s="1251"/>
      <c r="C31" s="1251"/>
      <c r="D31" s="688"/>
      <c r="E31" s="734"/>
      <c r="F31" s="734"/>
      <c r="G31" s="734"/>
      <c r="H31" s="734"/>
      <c r="I31" s="734"/>
      <c r="J31" s="734"/>
      <c r="K31" s="734"/>
      <c r="L31" s="734"/>
      <c r="M31" s="734"/>
      <c r="N31" s="738"/>
      <c r="O31" s="734"/>
      <c r="P31" s="739"/>
      <c r="Q31" s="693"/>
      <c r="R31" s="1173">
        <v>1000</v>
      </c>
      <c r="S31" s="734"/>
      <c r="T31" s="734"/>
      <c r="U31" s="734">
        <v>0.3</v>
      </c>
      <c r="V31" s="734">
        <v>0.3</v>
      </c>
      <c r="W31" s="734">
        <v>0.4</v>
      </c>
      <c r="X31" s="734"/>
      <c r="Y31" s="734"/>
      <c r="Z31" s="734"/>
      <c r="AA31" s="734"/>
      <c r="AB31" s="738"/>
      <c r="AC31" s="734"/>
      <c r="AD31" s="739"/>
      <c r="AF31" s="1173"/>
      <c r="AG31" s="734"/>
      <c r="AH31" s="734"/>
      <c r="AI31" s="734"/>
      <c r="AJ31" s="734"/>
      <c r="AK31" s="734"/>
      <c r="AL31" s="734"/>
      <c r="AM31" s="734"/>
      <c r="AN31" s="734"/>
      <c r="AO31" s="734"/>
      <c r="AP31" s="738"/>
      <c r="AQ31" s="734"/>
      <c r="AR31" s="739"/>
    </row>
    <row r="32" spans="1:44">
      <c r="A32" s="691"/>
      <c r="B32" s="1244"/>
      <c r="C32" s="1244"/>
      <c r="D32" s="692"/>
      <c r="E32" s="740"/>
      <c r="F32" s="740"/>
      <c r="G32" s="740"/>
      <c r="H32" s="740"/>
      <c r="I32" s="740"/>
      <c r="J32" s="740"/>
      <c r="K32" s="740"/>
      <c r="L32" s="740"/>
      <c r="M32" s="740"/>
      <c r="N32" s="741"/>
      <c r="O32" s="740"/>
      <c r="P32" s="742"/>
      <c r="R32" s="1174"/>
      <c r="S32" s="740"/>
      <c r="T32" s="740"/>
      <c r="U32" s="740"/>
      <c r="V32" s="740"/>
      <c r="W32" s="740"/>
      <c r="X32" s="740"/>
      <c r="Y32" s="740"/>
      <c r="Z32" s="740"/>
      <c r="AA32" s="740"/>
      <c r="AB32" s="741"/>
      <c r="AC32" s="740"/>
      <c r="AD32" s="742"/>
      <c r="AF32" s="1174"/>
      <c r="AG32" s="740"/>
      <c r="AH32" s="740"/>
      <c r="AI32" s="740"/>
      <c r="AJ32" s="740"/>
      <c r="AK32" s="740"/>
      <c r="AL32" s="740"/>
      <c r="AM32" s="740"/>
      <c r="AN32" s="740"/>
      <c r="AO32" s="740"/>
      <c r="AP32" s="741"/>
      <c r="AQ32" s="740"/>
      <c r="AR32" s="742"/>
    </row>
    <row r="33" spans="1:44">
      <c r="A33" s="694" t="str">
        <f>"Total "&amp;A27</f>
        <v>Total Product 4</v>
      </c>
      <c r="B33" s="695"/>
      <c r="C33" s="695"/>
      <c r="D33" s="696">
        <f>SUM(D29:D32)</f>
        <v>1000</v>
      </c>
      <c r="E33" s="683"/>
      <c r="F33" s="683"/>
      <c r="G33" s="683"/>
      <c r="H33" s="683"/>
      <c r="I33" s="683"/>
      <c r="J33" s="683"/>
      <c r="K33" s="683"/>
      <c r="L33" s="683"/>
      <c r="M33" s="683"/>
      <c r="N33" s="683"/>
      <c r="O33" s="683"/>
      <c r="P33" s="683"/>
      <c r="R33" s="696">
        <f>SUM(R29:R32)</f>
        <v>2000</v>
      </c>
      <c r="S33" s="683"/>
      <c r="T33" s="683"/>
      <c r="U33" s="683"/>
      <c r="V33" s="683"/>
      <c r="W33" s="683"/>
      <c r="X33" s="683"/>
      <c r="Y33" s="683"/>
      <c r="Z33" s="683"/>
      <c r="AA33" s="683"/>
      <c r="AB33" s="683"/>
      <c r="AC33" s="683"/>
      <c r="AD33" s="683"/>
      <c r="AF33" s="696">
        <f>SUM(AF29:AF32)</f>
        <v>2000</v>
      </c>
      <c r="AG33" s="683"/>
      <c r="AH33" s="683"/>
      <c r="AI33" s="683"/>
      <c r="AJ33" s="683"/>
      <c r="AK33" s="683"/>
      <c r="AL33" s="683"/>
      <c r="AM33" s="683"/>
      <c r="AN33" s="683"/>
      <c r="AO33" s="683"/>
      <c r="AP33" s="683"/>
      <c r="AQ33" s="683"/>
      <c r="AR33" s="683"/>
    </row>
    <row r="34" spans="1:44">
      <c r="A34" s="561"/>
      <c r="B34" s="562"/>
      <c r="C34" s="562"/>
      <c r="D34" s="664"/>
      <c r="E34" s="664"/>
      <c r="F34" s="562"/>
      <c r="G34" s="562"/>
      <c r="H34" s="562"/>
      <c r="I34" s="562"/>
      <c r="J34" s="562"/>
      <c r="R34" s="664"/>
      <c r="S34" s="664"/>
      <c r="T34" s="562"/>
      <c r="U34" s="562"/>
      <c r="V34" s="562"/>
      <c r="W34" s="562"/>
      <c r="X34" s="562"/>
      <c r="AF34" s="664"/>
      <c r="AG34" s="664"/>
      <c r="AH34" s="562"/>
      <c r="AI34" s="562"/>
      <c r="AJ34" s="562"/>
      <c r="AK34" s="562"/>
      <c r="AL34" s="562"/>
    </row>
    <row r="35" spans="1:44" ht="21">
      <c r="A35" s="680" t="str">
        <f>Parameter!$D$13</f>
        <v>Product 5</v>
      </c>
      <c r="B35" s="1249"/>
      <c r="C35" s="1250"/>
      <c r="D35" s="681"/>
      <c r="E35" s="676" t="s">
        <v>465</v>
      </c>
      <c r="F35" s="677"/>
      <c r="G35" s="1081"/>
      <c r="H35" s="1081"/>
      <c r="I35" s="1243"/>
      <c r="J35" s="1243"/>
      <c r="K35" s="1243"/>
      <c r="L35" s="1243"/>
      <c r="M35" s="1243"/>
      <c r="N35" s="1243"/>
      <c r="O35" s="1243"/>
      <c r="P35" s="678"/>
      <c r="R35" s="1171"/>
      <c r="S35" s="676" t="s">
        <v>465</v>
      </c>
      <c r="T35" s="677"/>
      <c r="U35" s="1081"/>
      <c r="V35" s="1081"/>
      <c r="W35" s="1243"/>
      <c r="X35" s="1243"/>
      <c r="Y35" s="1243"/>
      <c r="Z35" s="1243"/>
      <c r="AA35" s="1243"/>
      <c r="AB35" s="1243"/>
      <c r="AC35" s="1243"/>
      <c r="AD35" s="678"/>
      <c r="AF35" s="1171"/>
      <c r="AG35" s="676" t="s">
        <v>465</v>
      </c>
      <c r="AH35" s="677"/>
      <c r="AI35" s="1081"/>
      <c r="AJ35" s="1081"/>
      <c r="AK35" s="1243"/>
      <c r="AL35" s="1243"/>
      <c r="AM35" s="1243"/>
      <c r="AN35" s="1243"/>
      <c r="AO35" s="1243"/>
      <c r="AP35" s="1243"/>
      <c r="AQ35" s="1243"/>
      <c r="AR35" s="678"/>
    </row>
    <row r="36" spans="1:44" ht="16">
      <c r="A36" s="679" t="s">
        <v>464</v>
      </c>
      <c r="B36" s="1246" t="s">
        <v>394</v>
      </c>
      <c r="C36" s="1246"/>
      <c r="D36" s="697" t="s">
        <v>463</v>
      </c>
      <c r="E36" s="673" t="s">
        <v>163</v>
      </c>
      <c r="F36" s="673" t="s">
        <v>164</v>
      </c>
      <c r="G36" s="673" t="s">
        <v>48</v>
      </c>
      <c r="H36" s="673" t="s">
        <v>7</v>
      </c>
      <c r="I36" s="673" t="s">
        <v>49</v>
      </c>
      <c r="J36" s="673" t="s">
        <v>9</v>
      </c>
      <c r="K36" s="673" t="s">
        <v>10</v>
      </c>
      <c r="L36" s="673" t="s">
        <v>11</v>
      </c>
      <c r="M36" s="673" t="s">
        <v>12</v>
      </c>
      <c r="N36" s="673" t="s">
        <v>50</v>
      </c>
      <c r="O36" s="673" t="s">
        <v>2</v>
      </c>
      <c r="P36" s="673" t="s">
        <v>51</v>
      </c>
      <c r="Q36" s="669"/>
      <c r="R36" s="697" t="s">
        <v>463</v>
      </c>
      <c r="S36" s="673" t="s">
        <v>163</v>
      </c>
      <c r="T36" s="673" t="s">
        <v>164</v>
      </c>
      <c r="U36" s="673" t="s">
        <v>48</v>
      </c>
      <c r="V36" s="673" t="s">
        <v>7</v>
      </c>
      <c r="W36" s="673" t="s">
        <v>49</v>
      </c>
      <c r="X36" s="673" t="s">
        <v>9</v>
      </c>
      <c r="Y36" s="673" t="s">
        <v>10</v>
      </c>
      <c r="Z36" s="673" t="s">
        <v>11</v>
      </c>
      <c r="AA36" s="673" t="s">
        <v>12</v>
      </c>
      <c r="AB36" s="673" t="s">
        <v>50</v>
      </c>
      <c r="AC36" s="673" t="s">
        <v>2</v>
      </c>
      <c r="AD36" s="673" t="s">
        <v>51</v>
      </c>
      <c r="AF36" s="697" t="s">
        <v>463</v>
      </c>
      <c r="AG36" s="673" t="s">
        <v>163</v>
      </c>
      <c r="AH36" s="673" t="s">
        <v>164</v>
      </c>
      <c r="AI36" s="673" t="s">
        <v>48</v>
      </c>
      <c r="AJ36" s="673" t="s">
        <v>7</v>
      </c>
      <c r="AK36" s="673" t="s">
        <v>49</v>
      </c>
      <c r="AL36" s="673" t="s">
        <v>9</v>
      </c>
      <c r="AM36" s="673" t="s">
        <v>10</v>
      </c>
      <c r="AN36" s="673" t="s">
        <v>11</v>
      </c>
      <c r="AO36" s="673" t="s">
        <v>12</v>
      </c>
      <c r="AP36" s="673" t="s">
        <v>50</v>
      </c>
      <c r="AQ36" s="673" t="s">
        <v>2</v>
      </c>
      <c r="AR36" s="673" t="s">
        <v>51</v>
      </c>
    </row>
    <row r="37" spans="1:44">
      <c r="A37" s="689" t="s">
        <v>479</v>
      </c>
      <c r="B37" s="1247"/>
      <c r="C37" s="1248"/>
      <c r="D37" s="687">
        <v>1000</v>
      </c>
      <c r="E37" s="730"/>
      <c r="F37" s="730"/>
      <c r="G37" s="730">
        <v>0.5</v>
      </c>
      <c r="H37" s="730"/>
      <c r="I37" s="730"/>
      <c r="J37" s="730"/>
      <c r="K37" s="731"/>
      <c r="L37" s="731"/>
      <c r="M37" s="731"/>
      <c r="N37" s="732">
        <v>0.5</v>
      </c>
      <c r="O37" s="731"/>
      <c r="P37" s="733"/>
      <c r="Q37" s="693"/>
      <c r="R37" s="1172">
        <v>1000</v>
      </c>
      <c r="S37" s="730">
        <v>0.5</v>
      </c>
      <c r="T37" s="730"/>
      <c r="U37" s="730"/>
      <c r="V37" s="730"/>
      <c r="W37" s="730"/>
      <c r="X37" s="730"/>
      <c r="Y37" s="731"/>
      <c r="Z37" s="731"/>
      <c r="AA37" s="731">
        <v>0.5</v>
      </c>
      <c r="AB37" s="732"/>
      <c r="AC37" s="731"/>
      <c r="AD37" s="733"/>
      <c r="AF37" s="1172">
        <v>1000</v>
      </c>
      <c r="AG37" s="730"/>
      <c r="AH37" s="730"/>
      <c r="AI37" s="730"/>
      <c r="AJ37" s="730">
        <v>0.5</v>
      </c>
      <c r="AK37" s="730"/>
      <c r="AL37" s="730"/>
      <c r="AM37" s="731"/>
      <c r="AN37" s="731"/>
      <c r="AO37" s="731"/>
      <c r="AP37" s="732"/>
      <c r="AQ37" s="731"/>
      <c r="AR37" s="733">
        <v>0.5</v>
      </c>
    </row>
    <row r="38" spans="1:44">
      <c r="A38" s="690"/>
      <c r="B38" s="1251"/>
      <c r="C38" s="1251"/>
      <c r="D38" s="688"/>
      <c r="E38" s="734"/>
      <c r="F38" s="734"/>
      <c r="G38" s="734"/>
      <c r="H38" s="734"/>
      <c r="I38" s="734"/>
      <c r="J38" s="734"/>
      <c r="K38" s="735"/>
      <c r="L38" s="735"/>
      <c r="M38" s="735"/>
      <c r="N38" s="736"/>
      <c r="O38" s="735"/>
      <c r="P38" s="737"/>
      <c r="Q38" s="693"/>
      <c r="R38" s="1173"/>
      <c r="S38" s="734"/>
      <c r="T38" s="734"/>
      <c r="U38" s="734"/>
      <c r="V38" s="734"/>
      <c r="W38" s="734"/>
      <c r="X38" s="734"/>
      <c r="Y38" s="735"/>
      <c r="Z38" s="735"/>
      <c r="AA38" s="735"/>
      <c r="AB38" s="736"/>
      <c r="AC38" s="735"/>
      <c r="AD38" s="737"/>
      <c r="AF38" s="1173"/>
      <c r="AG38" s="734"/>
      <c r="AH38" s="734"/>
      <c r="AI38" s="734"/>
      <c r="AJ38" s="734"/>
      <c r="AK38" s="734"/>
      <c r="AL38" s="734"/>
      <c r="AM38" s="735"/>
      <c r="AN38" s="735"/>
      <c r="AO38" s="735"/>
      <c r="AP38" s="736"/>
      <c r="AQ38" s="735"/>
      <c r="AR38" s="737"/>
    </row>
    <row r="39" spans="1:44">
      <c r="A39" s="690"/>
      <c r="B39" s="1251"/>
      <c r="C39" s="1251"/>
      <c r="D39" s="688">
        <v>0</v>
      </c>
      <c r="E39" s="734"/>
      <c r="F39" s="734"/>
      <c r="G39" s="734"/>
      <c r="H39" s="734"/>
      <c r="I39" s="734"/>
      <c r="J39" s="734"/>
      <c r="K39" s="734"/>
      <c r="L39" s="734"/>
      <c r="M39" s="734"/>
      <c r="N39" s="738"/>
      <c r="O39" s="734">
        <v>0.5</v>
      </c>
      <c r="P39" s="739">
        <v>0.5</v>
      </c>
      <c r="Q39" s="693"/>
      <c r="R39" s="1173">
        <v>100</v>
      </c>
      <c r="S39" s="734"/>
      <c r="T39" s="734"/>
      <c r="U39" s="734">
        <v>0.5</v>
      </c>
      <c r="V39" s="734">
        <v>0.5</v>
      </c>
      <c r="W39" s="734"/>
      <c r="X39" s="734"/>
      <c r="Y39" s="734"/>
      <c r="Z39" s="734"/>
      <c r="AA39" s="734"/>
      <c r="AB39" s="738"/>
      <c r="AC39" s="734"/>
      <c r="AD39" s="739"/>
      <c r="AF39" s="1173">
        <v>500</v>
      </c>
      <c r="AG39" s="734"/>
      <c r="AH39" s="734"/>
      <c r="AI39" s="734"/>
      <c r="AJ39" s="734"/>
      <c r="AK39" s="734">
        <v>0.2</v>
      </c>
      <c r="AL39" s="734">
        <v>0.2</v>
      </c>
      <c r="AM39" s="734">
        <v>0.2</v>
      </c>
      <c r="AN39" s="734">
        <v>0.4</v>
      </c>
      <c r="AO39" s="734"/>
      <c r="AP39" s="738"/>
      <c r="AQ39" s="734"/>
      <c r="AR39" s="739"/>
    </row>
    <row r="40" spans="1:44">
      <c r="A40" s="691"/>
      <c r="B40" s="1244"/>
      <c r="C40" s="1244"/>
      <c r="D40" s="692"/>
      <c r="E40" s="740"/>
      <c r="F40" s="740"/>
      <c r="G40" s="740"/>
      <c r="H40" s="740"/>
      <c r="I40" s="740"/>
      <c r="J40" s="740"/>
      <c r="K40" s="740"/>
      <c r="L40" s="740"/>
      <c r="M40" s="740"/>
      <c r="N40" s="741"/>
      <c r="O40" s="740"/>
      <c r="P40" s="742"/>
      <c r="R40" s="1174"/>
      <c r="S40" s="740"/>
      <c r="T40" s="740"/>
      <c r="U40" s="740"/>
      <c r="V40" s="740"/>
      <c r="W40" s="740"/>
      <c r="X40" s="740"/>
      <c r="Y40" s="740"/>
      <c r="Z40" s="740"/>
      <c r="AA40" s="740"/>
      <c r="AB40" s="741"/>
      <c r="AC40" s="740"/>
      <c r="AD40" s="742"/>
      <c r="AF40" s="1174"/>
      <c r="AG40" s="740"/>
      <c r="AH40" s="740"/>
      <c r="AI40" s="740"/>
      <c r="AJ40" s="740"/>
      <c r="AK40" s="740"/>
      <c r="AL40" s="740"/>
      <c r="AM40" s="740"/>
      <c r="AN40" s="740"/>
      <c r="AO40" s="740"/>
      <c r="AP40" s="741"/>
      <c r="AQ40" s="740"/>
      <c r="AR40" s="742"/>
    </row>
    <row r="41" spans="1:44">
      <c r="A41" s="694" t="str">
        <f>"Total "&amp;A35</f>
        <v>Total Product 5</v>
      </c>
      <c r="B41" s="695"/>
      <c r="C41" s="695"/>
      <c r="D41" s="696">
        <f>SUM(D37:D40)</f>
        <v>1000</v>
      </c>
      <c r="E41" s="683"/>
      <c r="F41" s="683"/>
      <c r="G41" s="683"/>
      <c r="H41" s="683"/>
      <c r="I41" s="683"/>
      <c r="J41" s="683"/>
      <c r="K41" s="683"/>
      <c r="L41" s="683"/>
      <c r="M41" s="683"/>
      <c r="N41" s="683"/>
      <c r="O41" s="683"/>
      <c r="P41" s="683"/>
      <c r="R41" s="696">
        <f>SUM(R37:R40)</f>
        <v>1100</v>
      </c>
      <c r="S41" s="683"/>
      <c r="T41" s="683"/>
      <c r="U41" s="683"/>
      <c r="V41" s="683"/>
      <c r="W41" s="683"/>
      <c r="X41" s="683"/>
      <c r="Y41" s="683"/>
      <c r="Z41" s="683"/>
      <c r="AA41" s="683"/>
      <c r="AB41" s="683"/>
      <c r="AC41" s="683"/>
      <c r="AD41" s="683"/>
      <c r="AF41" s="696">
        <f>SUM(AF37:AF40)</f>
        <v>1500</v>
      </c>
      <c r="AG41" s="683"/>
      <c r="AH41" s="683"/>
      <c r="AI41" s="683"/>
      <c r="AJ41" s="683"/>
      <c r="AK41" s="683"/>
      <c r="AL41" s="683"/>
      <c r="AM41" s="683"/>
      <c r="AN41" s="683"/>
      <c r="AO41" s="683"/>
      <c r="AP41" s="683"/>
      <c r="AQ41" s="683"/>
      <c r="AR41" s="683"/>
    </row>
    <row r="42" spans="1:44">
      <c r="A42"/>
      <c r="B42"/>
      <c r="C42"/>
      <c r="D42"/>
      <c r="E42"/>
      <c r="F42"/>
      <c r="G42"/>
      <c r="H42"/>
      <c r="I42"/>
      <c r="J42"/>
      <c r="K42"/>
      <c r="L42"/>
      <c r="M42"/>
      <c r="N42"/>
      <c r="R42"/>
      <c r="S42"/>
      <c r="T42"/>
      <c r="U42"/>
      <c r="V42"/>
      <c r="W42"/>
      <c r="X42"/>
      <c r="Y42"/>
      <c r="Z42"/>
      <c r="AA42"/>
      <c r="AB42"/>
      <c r="AF42"/>
      <c r="AG42"/>
      <c r="AH42"/>
      <c r="AI42"/>
      <c r="AJ42"/>
      <c r="AK42"/>
      <c r="AL42"/>
      <c r="AM42"/>
      <c r="AN42"/>
      <c r="AO42"/>
      <c r="AP42"/>
    </row>
    <row r="43" spans="1:44" ht="22">
      <c r="A43" s="710" t="s">
        <v>466</v>
      </c>
      <c r="N43"/>
      <c r="AB43"/>
      <c r="AP43"/>
    </row>
    <row r="44" spans="1:44" ht="17">
      <c r="A44" s="711" t="s">
        <v>467</v>
      </c>
      <c r="N44"/>
      <c r="AB44"/>
      <c r="AP44"/>
    </row>
    <row r="45" spans="1:44" ht="21">
      <c r="A45" s="1087" t="str">
        <f>+A3</f>
        <v>Product 1</v>
      </c>
      <c r="B45" s="1088"/>
      <c r="C45" s="1088"/>
      <c r="D45" s="1089"/>
      <c r="E45" s="673" t="s">
        <v>163</v>
      </c>
      <c r="F45" s="673" t="s">
        <v>164</v>
      </c>
      <c r="G45" s="673" t="s">
        <v>48</v>
      </c>
      <c r="H45" s="673" t="s">
        <v>7</v>
      </c>
      <c r="I45" s="673" t="s">
        <v>49</v>
      </c>
      <c r="J45" s="673" t="s">
        <v>9</v>
      </c>
      <c r="K45" s="673" t="s">
        <v>10</v>
      </c>
      <c r="L45" s="673" t="s">
        <v>11</v>
      </c>
      <c r="M45" s="673" t="s">
        <v>12</v>
      </c>
      <c r="N45" s="673" t="s">
        <v>50</v>
      </c>
      <c r="O45" s="673" t="s">
        <v>2</v>
      </c>
      <c r="P45" s="673" t="s">
        <v>51</v>
      </c>
      <c r="Q45" s="698"/>
      <c r="R45" s="712"/>
      <c r="S45" s="673" t="s">
        <v>163</v>
      </c>
      <c r="T45" s="673" t="s">
        <v>164</v>
      </c>
      <c r="U45" s="673" t="s">
        <v>48</v>
      </c>
      <c r="V45" s="673" t="s">
        <v>7</v>
      </c>
      <c r="W45" s="673" t="s">
        <v>49</v>
      </c>
      <c r="X45" s="673" t="s">
        <v>9</v>
      </c>
      <c r="Y45" s="673" t="s">
        <v>10</v>
      </c>
      <c r="Z45" s="673" t="s">
        <v>11</v>
      </c>
      <c r="AA45" s="673" t="s">
        <v>12</v>
      </c>
      <c r="AB45" s="673" t="s">
        <v>50</v>
      </c>
      <c r="AC45" s="673" t="s">
        <v>2</v>
      </c>
      <c r="AD45" s="673" t="s">
        <v>51</v>
      </c>
      <c r="AF45" s="712"/>
      <c r="AG45" s="673" t="s">
        <v>163</v>
      </c>
      <c r="AH45" s="673" t="s">
        <v>164</v>
      </c>
      <c r="AI45" s="673" t="s">
        <v>48</v>
      </c>
      <c r="AJ45" s="673" t="s">
        <v>7</v>
      </c>
      <c r="AK45" s="673" t="s">
        <v>49</v>
      </c>
      <c r="AL45" s="673" t="s">
        <v>9</v>
      </c>
      <c r="AM45" s="673" t="s">
        <v>10</v>
      </c>
      <c r="AN45" s="673" t="s">
        <v>11</v>
      </c>
      <c r="AO45" s="673" t="s">
        <v>12</v>
      </c>
      <c r="AP45" s="673" t="s">
        <v>50</v>
      </c>
      <c r="AQ45" s="673" t="s">
        <v>2</v>
      </c>
      <c r="AR45" s="673" t="s">
        <v>51</v>
      </c>
    </row>
    <row r="46" spans="1:44">
      <c r="A46" s="689" t="str">
        <f>IF(ISBLANK(+A5),"",A5)</f>
        <v>sample customer</v>
      </c>
      <c r="B46" s="1082"/>
      <c r="C46" s="1082"/>
      <c r="D46" s="1082"/>
      <c r="E46" s="743">
        <f>+$D5*E5</f>
        <v>0</v>
      </c>
      <c r="F46" s="743">
        <f t="shared" ref="F46:P46" si="0">+$D5*F5</f>
        <v>0</v>
      </c>
      <c r="G46" s="743">
        <f t="shared" si="0"/>
        <v>5000</v>
      </c>
      <c r="H46" s="743">
        <f t="shared" si="0"/>
        <v>0</v>
      </c>
      <c r="I46" s="743">
        <f t="shared" si="0"/>
        <v>0</v>
      </c>
      <c r="J46" s="743">
        <f t="shared" si="0"/>
        <v>5000</v>
      </c>
      <c r="K46" s="743">
        <f t="shared" si="0"/>
        <v>0</v>
      </c>
      <c r="L46" s="743">
        <f t="shared" si="0"/>
        <v>0</v>
      </c>
      <c r="M46" s="743">
        <f t="shared" si="0"/>
        <v>5000</v>
      </c>
      <c r="N46" s="743">
        <f t="shared" si="0"/>
        <v>0</v>
      </c>
      <c r="O46" s="743">
        <f t="shared" si="0"/>
        <v>0</v>
      </c>
      <c r="P46" s="744">
        <f t="shared" si="0"/>
        <v>5000</v>
      </c>
      <c r="Q46" s="563"/>
      <c r="R46" s="689"/>
      <c r="S46" s="743">
        <f>+$R5*S5</f>
        <v>0</v>
      </c>
      <c r="T46" s="743">
        <f t="shared" ref="T46:AD46" si="1">+$R5*T5</f>
        <v>0</v>
      </c>
      <c r="U46" s="743">
        <f t="shared" si="1"/>
        <v>6250</v>
      </c>
      <c r="V46" s="743">
        <f t="shared" si="1"/>
        <v>0</v>
      </c>
      <c r="W46" s="743">
        <f t="shared" si="1"/>
        <v>0</v>
      </c>
      <c r="X46" s="743">
        <f t="shared" si="1"/>
        <v>6250</v>
      </c>
      <c r="Y46" s="743">
        <f t="shared" si="1"/>
        <v>0</v>
      </c>
      <c r="Z46" s="743">
        <f t="shared" si="1"/>
        <v>0</v>
      </c>
      <c r="AA46" s="743">
        <f t="shared" si="1"/>
        <v>6250</v>
      </c>
      <c r="AB46" s="743">
        <f t="shared" si="1"/>
        <v>0</v>
      </c>
      <c r="AC46" s="743">
        <f t="shared" si="1"/>
        <v>0</v>
      </c>
      <c r="AD46" s="744">
        <f t="shared" si="1"/>
        <v>6250</v>
      </c>
      <c r="AF46" s="689"/>
      <c r="AG46" s="743">
        <f>+$AF5*AG5</f>
        <v>0</v>
      </c>
      <c r="AH46" s="743">
        <f t="shared" ref="AH46:AR46" si="2">+$AF5*AH5</f>
        <v>0</v>
      </c>
      <c r="AI46" s="743">
        <f t="shared" si="2"/>
        <v>7500</v>
      </c>
      <c r="AJ46" s="743">
        <f t="shared" si="2"/>
        <v>0</v>
      </c>
      <c r="AK46" s="743">
        <f t="shared" si="2"/>
        <v>0</v>
      </c>
      <c r="AL46" s="743">
        <f t="shared" si="2"/>
        <v>7500</v>
      </c>
      <c r="AM46" s="743">
        <f t="shared" si="2"/>
        <v>0</v>
      </c>
      <c r="AN46" s="743">
        <f t="shared" si="2"/>
        <v>0</v>
      </c>
      <c r="AO46" s="743">
        <f t="shared" si="2"/>
        <v>7500</v>
      </c>
      <c r="AP46" s="743">
        <f t="shared" si="2"/>
        <v>0</v>
      </c>
      <c r="AQ46" s="743">
        <f t="shared" si="2"/>
        <v>0</v>
      </c>
      <c r="AR46" s="744">
        <f t="shared" si="2"/>
        <v>7500</v>
      </c>
    </row>
    <row r="47" spans="1:44">
      <c r="A47" s="690" t="str">
        <f>IF(ISBLANK(+A6),"",A6)</f>
        <v/>
      </c>
      <c r="B47" s="1083"/>
      <c r="C47" s="1083"/>
      <c r="D47" s="1083"/>
      <c r="E47" s="745">
        <f t="shared" ref="E47:P47" si="3">+$D6*E6</f>
        <v>0</v>
      </c>
      <c r="F47" s="745">
        <f t="shared" si="3"/>
        <v>0</v>
      </c>
      <c r="G47" s="745">
        <f t="shared" si="3"/>
        <v>0</v>
      </c>
      <c r="H47" s="745">
        <f t="shared" si="3"/>
        <v>0</v>
      </c>
      <c r="I47" s="745">
        <f t="shared" si="3"/>
        <v>0</v>
      </c>
      <c r="J47" s="745">
        <f t="shared" si="3"/>
        <v>0</v>
      </c>
      <c r="K47" s="745">
        <f t="shared" si="3"/>
        <v>0</v>
      </c>
      <c r="L47" s="745">
        <f t="shared" si="3"/>
        <v>0</v>
      </c>
      <c r="M47" s="745">
        <f t="shared" si="3"/>
        <v>0</v>
      </c>
      <c r="N47" s="745">
        <f t="shared" si="3"/>
        <v>0</v>
      </c>
      <c r="O47" s="745">
        <f t="shared" si="3"/>
        <v>0</v>
      </c>
      <c r="P47" s="746">
        <f t="shared" si="3"/>
        <v>0</v>
      </c>
      <c r="Q47" s="563"/>
      <c r="R47" s="690"/>
      <c r="S47" s="745">
        <f t="shared" ref="S47:AD47" si="4">+$R6*S6</f>
        <v>0</v>
      </c>
      <c r="T47" s="745">
        <f t="shared" si="4"/>
        <v>0</v>
      </c>
      <c r="U47" s="745">
        <f t="shared" si="4"/>
        <v>0</v>
      </c>
      <c r="V47" s="745">
        <f t="shared" si="4"/>
        <v>0</v>
      </c>
      <c r="W47" s="745">
        <f t="shared" si="4"/>
        <v>0</v>
      </c>
      <c r="X47" s="745">
        <f t="shared" si="4"/>
        <v>0</v>
      </c>
      <c r="Y47" s="745">
        <f t="shared" si="4"/>
        <v>0</v>
      </c>
      <c r="Z47" s="745">
        <f t="shared" si="4"/>
        <v>0</v>
      </c>
      <c r="AA47" s="745">
        <f t="shared" si="4"/>
        <v>0</v>
      </c>
      <c r="AB47" s="745">
        <f t="shared" si="4"/>
        <v>0</v>
      </c>
      <c r="AC47" s="745">
        <f t="shared" si="4"/>
        <v>0</v>
      </c>
      <c r="AD47" s="746">
        <f t="shared" si="4"/>
        <v>0</v>
      </c>
      <c r="AF47" s="690"/>
      <c r="AG47" s="745">
        <f t="shared" ref="AG47:AR47" si="5">+$AF6*AG6</f>
        <v>0</v>
      </c>
      <c r="AH47" s="745">
        <f t="shared" si="5"/>
        <v>0</v>
      </c>
      <c r="AI47" s="745">
        <f t="shared" si="5"/>
        <v>0</v>
      </c>
      <c r="AJ47" s="745">
        <f t="shared" si="5"/>
        <v>0</v>
      </c>
      <c r="AK47" s="745">
        <f t="shared" si="5"/>
        <v>0</v>
      </c>
      <c r="AL47" s="745">
        <f t="shared" si="5"/>
        <v>0</v>
      </c>
      <c r="AM47" s="745">
        <f t="shared" si="5"/>
        <v>0</v>
      </c>
      <c r="AN47" s="745">
        <f t="shared" si="5"/>
        <v>0</v>
      </c>
      <c r="AO47" s="745">
        <f t="shared" si="5"/>
        <v>0</v>
      </c>
      <c r="AP47" s="745">
        <f t="shared" si="5"/>
        <v>0</v>
      </c>
      <c r="AQ47" s="745">
        <f t="shared" si="5"/>
        <v>0</v>
      </c>
      <c r="AR47" s="746">
        <f t="shared" si="5"/>
        <v>0</v>
      </c>
    </row>
    <row r="48" spans="1:44">
      <c r="A48" s="690" t="str">
        <f>IF(ISBLANK(+A7),"",A7)</f>
        <v/>
      </c>
      <c r="B48" s="1083"/>
      <c r="C48" s="1083"/>
      <c r="D48" s="1083"/>
      <c r="E48" s="745">
        <f t="shared" ref="E48:P48" si="6">+$D7*E7</f>
        <v>0</v>
      </c>
      <c r="F48" s="745">
        <f t="shared" si="6"/>
        <v>0</v>
      </c>
      <c r="G48" s="745">
        <f t="shared" si="6"/>
        <v>0</v>
      </c>
      <c r="H48" s="745">
        <f t="shared" si="6"/>
        <v>0</v>
      </c>
      <c r="I48" s="745">
        <f t="shared" si="6"/>
        <v>0</v>
      </c>
      <c r="J48" s="745">
        <f t="shared" si="6"/>
        <v>0</v>
      </c>
      <c r="K48" s="745">
        <f t="shared" si="6"/>
        <v>0</v>
      </c>
      <c r="L48" s="745">
        <f t="shared" si="6"/>
        <v>0</v>
      </c>
      <c r="M48" s="745">
        <f t="shared" si="6"/>
        <v>0</v>
      </c>
      <c r="N48" s="745">
        <f t="shared" si="6"/>
        <v>0</v>
      </c>
      <c r="O48" s="745">
        <f t="shared" si="6"/>
        <v>0</v>
      </c>
      <c r="P48" s="746">
        <f t="shared" si="6"/>
        <v>0</v>
      </c>
      <c r="Q48" s="563"/>
      <c r="R48" s="690"/>
      <c r="S48" s="745">
        <f t="shared" ref="S48:AD48" si="7">+$R7*S7</f>
        <v>0</v>
      </c>
      <c r="T48" s="745">
        <f t="shared" si="7"/>
        <v>0</v>
      </c>
      <c r="U48" s="745">
        <f t="shared" si="7"/>
        <v>0</v>
      </c>
      <c r="V48" s="745">
        <f t="shared" si="7"/>
        <v>250</v>
      </c>
      <c r="W48" s="745">
        <f t="shared" si="7"/>
        <v>500</v>
      </c>
      <c r="X48" s="745">
        <f t="shared" si="7"/>
        <v>1250</v>
      </c>
      <c r="Y48" s="745">
        <f t="shared" si="7"/>
        <v>500</v>
      </c>
      <c r="Z48" s="745">
        <f t="shared" si="7"/>
        <v>0</v>
      </c>
      <c r="AA48" s="745">
        <f t="shared" si="7"/>
        <v>0</v>
      </c>
      <c r="AB48" s="745">
        <f t="shared" si="7"/>
        <v>0</v>
      </c>
      <c r="AC48" s="745">
        <f t="shared" si="7"/>
        <v>0</v>
      </c>
      <c r="AD48" s="746">
        <f t="shared" si="7"/>
        <v>0</v>
      </c>
      <c r="AF48" s="690"/>
      <c r="AG48" s="745">
        <f t="shared" ref="AG48:AR48" si="8">+$AF7*AG7</f>
        <v>0</v>
      </c>
      <c r="AH48" s="745">
        <f t="shared" si="8"/>
        <v>0</v>
      </c>
      <c r="AI48" s="745">
        <f t="shared" si="8"/>
        <v>0</v>
      </c>
      <c r="AJ48" s="745">
        <f t="shared" si="8"/>
        <v>2000</v>
      </c>
      <c r="AK48" s="745">
        <f t="shared" si="8"/>
        <v>0</v>
      </c>
      <c r="AL48" s="745">
        <f t="shared" si="8"/>
        <v>0</v>
      </c>
      <c r="AM48" s="745">
        <f t="shared" si="8"/>
        <v>0</v>
      </c>
      <c r="AN48" s="745">
        <f t="shared" si="8"/>
        <v>0</v>
      </c>
      <c r="AO48" s="745">
        <f t="shared" si="8"/>
        <v>0</v>
      </c>
      <c r="AP48" s="745">
        <f t="shared" si="8"/>
        <v>0</v>
      </c>
      <c r="AQ48" s="745">
        <f t="shared" si="8"/>
        <v>0</v>
      </c>
      <c r="AR48" s="746">
        <f t="shared" si="8"/>
        <v>0</v>
      </c>
    </row>
    <row r="49" spans="1:44">
      <c r="A49" s="691" t="str">
        <f>IF(ISBLANK(+A8),"",A8)</f>
        <v/>
      </c>
      <c r="B49" s="1084"/>
      <c r="C49" s="1084"/>
      <c r="D49" s="1084"/>
      <c r="E49" s="747">
        <f t="shared" ref="E49:P49" si="9">+$D8*E8</f>
        <v>0</v>
      </c>
      <c r="F49" s="747">
        <f t="shared" si="9"/>
        <v>0</v>
      </c>
      <c r="G49" s="747">
        <f t="shared" si="9"/>
        <v>0</v>
      </c>
      <c r="H49" s="747">
        <f t="shared" si="9"/>
        <v>0</v>
      </c>
      <c r="I49" s="747">
        <f t="shared" si="9"/>
        <v>0</v>
      </c>
      <c r="J49" s="747">
        <f t="shared" si="9"/>
        <v>0</v>
      </c>
      <c r="K49" s="747">
        <f t="shared" si="9"/>
        <v>0</v>
      </c>
      <c r="L49" s="747">
        <f t="shared" si="9"/>
        <v>0</v>
      </c>
      <c r="M49" s="747">
        <f t="shared" si="9"/>
        <v>0</v>
      </c>
      <c r="N49" s="747">
        <f t="shared" si="9"/>
        <v>0</v>
      </c>
      <c r="O49" s="747">
        <f t="shared" si="9"/>
        <v>0</v>
      </c>
      <c r="P49" s="748">
        <f t="shared" si="9"/>
        <v>0</v>
      </c>
      <c r="Q49" s="563"/>
      <c r="R49" s="691"/>
      <c r="S49" s="747">
        <f t="shared" ref="S49:AD49" si="10">+$R8*S8</f>
        <v>0</v>
      </c>
      <c r="T49" s="747">
        <f t="shared" si="10"/>
        <v>0</v>
      </c>
      <c r="U49" s="747">
        <f t="shared" si="10"/>
        <v>0</v>
      </c>
      <c r="V49" s="747">
        <f t="shared" si="10"/>
        <v>0</v>
      </c>
      <c r="W49" s="747">
        <f t="shared" si="10"/>
        <v>0</v>
      </c>
      <c r="X49" s="747">
        <f t="shared" si="10"/>
        <v>0</v>
      </c>
      <c r="Y49" s="747">
        <f t="shared" si="10"/>
        <v>0</v>
      </c>
      <c r="Z49" s="747">
        <f t="shared" si="10"/>
        <v>0</v>
      </c>
      <c r="AA49" s="747">
        <f t="shared" si="10"/>
        <v>0</v>
      </c>
      <c r="AB49" s="747">
        <f t="shared" si="10"/>
        <v>0</v>
      </c>
      <c r="AC49" s="747">
        <f t="shared" si="10"/>
        <v>0</v>
      </c>
      <c r="AD49" s="748">
        <f t="shared" si="10"/>
        <v>0</v>
      </c>
      <c r="AF49" s="691"/>
      <c r="AG49" s="747">
        <f t="shared" ref="AG49:AR49" si="11">+$AF8*AG8</f>
        <v>0</v>
      </c>
      <c r="AH49" s="747">
        <f t="shared" si="11"/>
        <v>0</v>
      </c>
      <c r="AI49" s="747">
        <f t="shared" si="11"/>
        <v>0</v>
      </c>
      <c r="AJ49" s="747">
        <f t="shared" si="11"/>
        <v>0</v>
      </c>
      <c r="AK49" s="747">
        <f t="shared" si="11"/>
        <v>0</v>
      </c>
      <c r="AL49" s="747">
        <f t="shared" si="11"/>
        <v>0</v>
      </c>
      <c r="AM49" s="747">
        <f t="shared" si="11"/>
        <v>0</v>
      </c>
      <c r="AN49" s="747">
        <f t="shared" si="11"/>
        <v>0</v>
      </c>
      <c r="AO49" s="747">
        <f t="shared" si="11"/>
        <v>0</v>
      </c>
      <c r="AP49" s="747">
        <f t="shared" si="11"/>
        <v>0</v>
      </c>
      <c r="AQ49" s="747">
        <f t="shared" si="11"/>
        <v>0</v>
      </c>
      <c r="AR49" s="748">
        <f t="shared" si="11"/>
        <v>0</v>
      </c>
    </row>
    <row r="50" spans="1:44" ht="16">
      <c r="A50" s="1072" t="str">
        <f>"Total Net  Revenue "&amp;A45</f>
        <v>Total Net  Revenue Product 1</v>
      </c>
      <c r="B50" s="1085"/>
      <c r="C50" s="1085"/>
      <c r="D50" s="1085"/>
      <c r="E50" s="1073">
        <f t="shared" ref="E50:P50" si="12">SUM(E46:E49)</f>
        <v>0</v>
      </c>
      <c r="F50" s="1073">
        <f t="shared" si="12"/>
        <v>0</v>
      </c>
      <c r="G50" s="1073">
        <f t="shared" si="12"/>
        <v>5000</v>
      </c>
      <c r="H50" s="1073">
        <f t="shared" si="12"/>
        <v>0</v>
      </c>
      <c r="I50" s="1073">
        <f t="shared" si="12"/>
        <v>0</v>
      </c>
      <c r="J50" s="1073">
        <f t="shared" si="12"/>
        <v>5000</v>
      </c>
      <c r="K50" s="1073">
        <f t="shared" si="12"/>
        <v>0</v>
      </c>
      <c r="L50" s="1073">
        <f t="shared" si="12"/>
        <v>0</v>
      </c>
      <c r="M50" s="1073">
        <f t="shared" si="12"/>
        <v>5000</v>
      </c>
      <c r="N50" s="1073">
        <f t="shared" si="12"/>
        <v>0</v>
      </c>
      <c r="O50" s="1073">
        <f t="shared" si="12"/>
        <v>0</v>
      </c>
      <c r="P50" s="1074">
        <f t="shared" si="12"/>
        <v>5000</v>
      </c>
      <c r="Q50" s="563"/>
      <c r="R50" s="1072"/>
      <c r="S50" s="1073">
        <f t="shared" ref="S50:AD50" si="13">SUM(S46:S49)</f>
        <v>0</v>
      </c>
      <c r="T50" s="1073">
        <f t="shared" si="13"/>
        <v>0</v>
      </c>
      <c r="U50" s="1073">
        <f t="shared" si="13"/>
        <v>6250</v>
      </c>
      <c r="V50" s="1073">
        <f t="shared" si="13"/>
        <v>250</v>
      </c>
      <c r="W50" s="1073">
        <f t="shared" si="13"/>
        <v>500</v>
      </c>
      <c r="X50" s="1073">
        <f t="shared" si="13"/>
        <v>7500</v>
      </c>
      <c r="Y50" s="1073">
        <f t="shared" si="13"/>
        <v>500</v>
      </c>
      <c r="Z50" s="1073">
        <f t="shared" si="13"/>
        <v>0</v>
      </c>
      <c r="AA50" s="1073">
        <f t="shared" si="13"/>
        <v>6250</v>
      </c>
      <c r="AB50" s="1073">
        <f t="shared" si="13"/>
        <v>0</v>
      </c>
      <c r="AC50" s="1073">
        <f t="shared" si="13"/>
        <v>0</v>
      </c>
      <c r="AD50" s="1074">
        <f t="shared" si="13"/>
        <v>6250</v>
      </c>
      <c r="AF50" s="1072"/>
      <c r="AG50" s="1073">
        <f t="shared" ref="AG50:AR50" si="14">SUM(AG46:AG49)</f>
        <v>0</v>
      </c>
      <c r="AH50" s="1073">
        <f t="shared" si="14"/>
        <v>0</v>
      </c>
      <c r="AI50" s="1073">
        <f t="shared" si="14"/>
        <v>7500</v>
      </c>
      <c r="AJ50" s="1073">
        <f t="shared" si="14"/>
        <v>2000</v>
      </c>
      <c r="AK50" s="1073">
        <f t="shared" si="14"/>
        <v>0</v>
      </c>
      <c r="AL50" s="1073">
        <f t="shared" si="14"/>
        <v>7500</v>
      </c>
      <c r="AM50" s="1073">
        <f t="shared" si="14"/>
        <v>0</v>
      </c>
      <c r="AN50" s="1073">
        <f t="shared" si="14"/>
        <v>0</v>
      </c>
      <c r="AO50" s="1073">
        <f t="shared" si="14"/>
        <v>7500</v>
      </c>
      <c r="AP50" s="1073">
        <f t="shared" si="14"/>
        <v>0</v>
      </c>
      <c r="AQ50" s="1073">
        <f t="shared" si="14"/>
        <v>0</v>
      </c>
      <c r="AR50" s="1074">
        <f t="shared" si="14"/>
        <v>7500</v>
      </c>
    </row>
    <row r="51" spans="1:44" ht="16" customHeight="1">
      <c r="A51" s="565"/>
      <c r="B51" s="1086"/>
      <c r="C51" s="1086"/>
      <c r="D51" s="1086"/>
      <c r="E51" s="564"/>
      <c r="F51" s="564"/>
      <c r="G51" s="564"/>
      <c r="H51" s="564"/>
      <c r="I51" s="564"/>
      <c r="J51" s="564"/>
      <c r="K51" s="564"/>
      <c r="L51" s="564"/>
      <c r="M51" s="564"/>
      <c r="N51" s="564"/>
      <c r="O51" s="564"/>
      <c r="P51" s="564"/>
      <c r="Q51" s="563"/>
      <c r="R51" s="1086"/>
      <c r="S51" s="564"/>
      <c r="T51" s="564"/>
      <c r="U51" s="564"/>
      <c r="V51" s="564"/>
      <c r="W51" s="564"/>
      <c r="X51" s="564"/>
      <c r="Y51" s="564"/>
      <c r="Z51" s="564"/>
      <c r="AA51" s="564"/>
      <c r="AB51" s="564"/>
      <c r="AC51" s="564"/>
      <c r="AD51" s="564"/>
      <c r="AF51" s="1086"/>
      <c r="AG51" s="564"/>
      <c r="AH51" s="564"/>
      <c r="AI51" s="564"/>
      <c r="AJ51" s="564"/>
      <c r="AK51" s="564"/>
      <c r="AL51" s="564"/>
      <c r="AM51" s="564"/>
      <c r="AN51" s="564"/>
      <c r="AO51" s="564"/>
      <c r="AP51" s="564"/>
      <c r="AQ51" s="564"/>
      <c r="AR51" s="564"/>
    </row>
    <row r="53" spans="1:44" ht="21">
      <c r="A53" s="1087" t="str">
        <f>+A11</f>
        <v>Product 2</v>
      </c>
      <c r="B53" s="1088"/>
      <c r="C53" s="1088"/>
      <c r="D53" s="1089"/>
      <c r="E53" s="673" t="s">
        <v>163</v>
      </c>
      <c r="F53" s="673" t="s">
        <v>164</v>
      </c>
      <c r="G53" s="673" t="s">
        <v>48</v>
      </c>
      <c r="H53" s="673" t="s">
        <v>7</v>
      </c>
      <c r="I53" s="673" t="s">
        <v>49</v>
      </c>
      <c r="J53" s="673" t="s">
        <v>9</v>
      </c>
      <c r="K53" s="673" t="s">
        <v>10</v>
      </c>
      <c r="L53" s="673" t="s">
        <v>11</v>
      </c>
      <c r="M53" s="673" t="s">
        <v>12</v>
      </c>
      <c r="N53" s="673" t="s">
        <v>50</v>
      </c>
      <c r="O53" s="673" t="s">
        <v>2</v>
      </c>
      <c r="P53" s="673" t="s">
        <v>51</v>
      </c>
      <c r="Q53" s="698"/>
      <c r="R53" s="712"/>
      <c r="S53" s="673" t="s">
        <v>163</v>
      </c>
      <c r="T53" s="673" t="s">
        <v>164</v>
      </c>
      <c r="U53" s="673" t="s">
        <v>48</v>
      </c>
      <c r="V53" s="673" t="s">
        <v>7</v>
      </c>
      <c r="W53" s="673" t="s">
        <v>49</v>
      </c>
      <c r="X53" s="673" t="s">
        <v>9</v>
      </c>
      <c r="Y53" s="673" t="s">
        <v>10</v>
      </c>
      <c r="Z53" s="673" t="s">
        <v>11</v>
      </c>
      <c r="AA53" s="673" t="s">
        <v>12</v>
      </c>
      <c r="AB53" s="673" t="s">
        <v>50</v>
      </c>
      <c r="AC53" s="673" t="s">
        <v>2</v>
      </c>
      <c r="AD53" s="673" t="s">
        <v>51</v>
      </c>
      <c r="AF53" s="712"/>
      <c r="AG53" s="673" t="s">
        <v>163</v>
      </c>
      <c r="AH53" s="673" t="s">
        <v>164</v>
      </c>
      <c r="AI53" s="673" t="s">
        <v>48</v>
      </c>
      <c r="AJ53" s="673" t="s">
        <v>7</v>
      </c>
      <c r="AK53" s="673" t="s">
        <v>49</v>
      </c>
      <c r="AL53" s="673" t="s">
        <v>9</v>
      </c>
      <c r="AM53" s="673" t="s">
        <v>10</v>
      </c>
      <c r="AN53" s="673" t="s">
        <v>11</v>
      </c>
      <c r="AO53" s="673" t="s">
        <v>12</v>
      </c>
      <c r="AP53" s="673" t="s">
        <v>50</v>
      </c>
      <c r="AQ53" s="673" t="s">
        <v>2</v>
      </c>
      <c r="AR53" s="673" t="s">
        <v>51</v>
      </c>
    </row>
    <row r="54" spans="1:44">
      <c r="A54" s="689" t="str">
        <f>IF(ISBLANK(+A13),"",A13)</f>
        <v>sample customer</v>
      </c>
      <c r="B54" s="1082"/>
      <c r="C54" s="1082"/>
      <c r="D54" s="1082"/>
      <c r="E54" s="743">
        <f t="shared" ref="E54:P54" si="15">+$D$13*E13*Product_Cost_2_Y1*(1+Product_Margin_2_Y1)</f>
        <v>0</v>
      </c>
      <c r="F54" s="743">
        <f t="shared" si="15"/>
        <v>2100</v>
      </c>
      <c r="G54" s="743">
        <f t="shared" si="15"/>
        <v>3500</v>
      </c>
      <c r="H54" s="743">
        <f t="shared" si="15"/>
        <v>5600</v>
      </c>
      <c r="I54" s="743">
        <f t="shared" si="15"/>
        <v>7000</v>
      </c>
      <c r="J54" s="743">
        <f t="shared" si="15"/>
        <v>7000</v>
      </c>
      <c r="K54" s="743">
        <f t="shared" si="15"/>
        <v>7000</v>
      </c>
      <c r="L54" s="743">
        <f t="shared" si="15"/>
        <v>7700</v>
      </c>
      <c r="M54" s="743">
        <f t="shared" si="15"/>
        <v>8400</v>
      </c>
      <c r="N54" s="743">
        <f t="shared" si="15"/>
        <v>8400</v>
      </c>
      <c r="O54" s="743">
        <f t="shared" si="15"/>
        <v>8400</v>
      </c>
      <c r="P54" s="743">
        <f t="shared" si="15"/>
        <v>4900.0000000000009</v>
      </c>
      <c r="Q54" s="563"/>
      <c r="R54" s="689"/>
      <c r="S54" s="743">
        <f t="shared" ref="S54:AD54" si="16">+$R$13*S13*Product_Cost_2_Y2*(1+Product_Margin_2_Y2)</f>
        <v>0</v>
      </c>
      <c r="T54" s="743">
        <f t="shared" si="16"/>
        <v>2730</v>
      </c>
      <c r="U54" s="743">
        <f t="shared" si="16"/>
        <v>4550</v>
      </c>
      <c r="V54" s="743">
        <f t="shared" si="16"/>
        <v>7280</v>
      </c>
      <c r="W54" s="743">
        <f t="shared" si="16"/>
        <v>9100</v>
      </c>
      <c r="X54" s="743">
        <f t="shared" si="16"/>
        <v>9100</v>
      </c>
      <c r="Y54" s="743">
        <f t="shared" si="16"/>
        <v>9100</v>
      </c>
      <c r="Z54" s="743">
        <f t="shared" si="16"/>
        <v>10010</v>
      </c>
      <c r="AA54" s="743">
        <f t="shared" si="16"/>
        <v>10920</v>
      </c>
      <c r="AB54" s="743">
        <f t="shared" si="16"/>
        <v>10920</v>
      </c>
      <c r="AC54" s="743">
        <f t="shared" si="16"/>
        <v>10920</v>
      </c>
      <c r="AD54" s="743">
        <f t="shared" si="16"/>
        <v>6370.0000000000009</v>
      </c>
      <c r="AF54" s="689"/>
      <c r="AG54" s="743">
        <f t="shared" ref="AG54:AR54" si="17">+$AF$13*AG13*Product_Cost_2_Y2*(1+Product_Margin_2_Y3)</f>
        <v>0</v>
      </c>
      <c r="AH54" s="743">
        <f t="shared" si="17"/>
        <v>4680</v>
      </c>
      <c r="AI54" s="743">
        <f t="shared" si="17"/>
        <v>7800</v>
      </c>
      <c r="AJ54" s="743">
        <f t="shared" si="17"/>
        <v>12480</v>
      </c>
      <c r="AK54" s="743">
        <f t="shared" si="17"/>
        <v>15600</v>
      </c>
      <c r="AL54" s="743">
        <f t="shared" si="17"/>
        <v>15600</v>
      </c>
      <c r="AM54" s="743">
        <f t="shared" si="17"/>
        <v>15600</v>
      </c>
      <c r="AN54" s="743">
        <f t="shared" si="17"/>
        <v>17160</v>
      </c>
      <c r="AO54" s="743">
        <f t="shared" si="17"/>
        <v>18720</v>
      </c>
      <c r="AP54" s="743">
        <f t="shared" si="17"/>
        <v>18720</v>
      </c>
      <c r="AQ54" s="743">
        <f t="shared" si="17"/>
        <v>18720</v>
      </c>
      <c r="AR54" s="743">
        <f t="shared" si="17"/>
        <v>10920.000000000002</v>
      </c>
    </row>
    <row r="55" spans="1:44">
      <c r="A55" s="690" t="str">
        <f>IF(ISBLANK(+A14),"",A14)</f>
        <v/>
      </c>
      <c r="B55" s="1083"/>
      <c r="C55" s="1083"/>
      <c r="D55" s="1083"/>
      <c r="E55" s="745">
        <f>+$D14*E14</f>
        <v>0</v>
      </c>
      <c r="F55" s="745">
        <f t="shared" ref="F55:P55" si="18">+$D14*F14</f>
        <v>0</v>
      </c>
      <c r="G55" s="745">
        <f t="shared" si="18"/>
        <v>0</v>
      </c>
      <c r="H55" s="745">
        <f t="shared" si="18"/>
        <v>0</v>
      </c>
      <c r="I55" s="745">
        <f t="shared" si="18"/>
        <v>0</v>
      </c>
      <c r="J55" s="745">
        <f t="shared" si="18"/>
        <v>0</v>
      </c>
      <c r="K55" s="745">
        <f t="shared" si="18"/>
        <v>0</v>
      </c>
      <c r="L55" s="745">
        <f t="shared" si="18"/>
        <v>0</v>
      </c>
      <c r="M55" s="745">
        <f t="shared" si="18"/>
        <v>0</v>
      </c>
      <c r="N55" s="745">
        <f t="shared" si="18"/>
        <v>0</v>
      </c>
      <c r="O55" s="745">
        <f t="shared" si="18"/>
        <v>0</v>
      </c>
      <c r="P55" s="745">
        <f t="shared" si="18"/>
        <v>0</v>
      </c>
      <c r="Q55" s="563"/>
      <c r="R55" s="690"/>
      <c r="S55" s="745">
        <f t="shared" ref="S55:AD55" si="19">+$R14*S14</f>
        <v>0</v>
      </c>
      <c r="T55" s="745">
        <f t="shared" si="19"/>
        <v>0</v>
      </c>
      <c r="U55" s="745">
        <f t="shared" si="19"/>
        <v>0</v>
      </c>
      <c r="V55" s="745">
        <f t="shared" si="19"/>
        <v>0</v>
      </c>
      <c r="W55" s="745">
        <f t="shared" si="19"/>
        <v>0</v>
      </c>
      <c r="X55" s="745">
        <f t="shared" si="19"/>
        <v>0</v>
      </c>
      <c r="Y55" s="745">
        <f t="shared" si="19"/>
        <v>0</v>
      </c>
      <c r="Z55" s="745">
        <f t="shared" si="19"/>
        <v>0</v>
      </c>
      <c r="AA55" s="745">
        <f t="shared" si="19"/>
        <v>0</v>
      </c>
      <c r="AB55" s="745">
        <f t="shared" si="19"/>
        <v>0</v>
      </c>
      <c r="AC55" s="745">
        <f t="shared" si="19"/>
        <v>0</v>
      </c>
      <c r="AD55" s="746">
        <f t="shared" si="19"/>
        <v>0</v>
      </c>
      <c r="AF55" s="690"/>
      <c r="AG55" s="745">
        <f t="shared" ref="AG55:AR55" si="20">+$AF14*AG14</f>
        <v>0</v>
      </c>
      <c r="AH55" s="745">
        <f t="shared" si="20"/>
        <v>0</v>
      </c>
      <c r="AI55" s="745">
        <f t="shared" si="20"/>
        <v>0</v>
      </c>
      <c r="AJ55" s="745">
        <f t="shared" si="20"/>
        <v>0</v>
      </c>
      <c r="AK55" s="745">
        <f t="shared" si="20"/>
        <v>0</v>
      </c>
      <c r="AL55" s="745">
        <f t="shared" si="20"/>
        <v>0</v>
      </c>
      <c r="AM55" s="745">
        <f t="shared" si="20"/>
        <v>0</v>
      </c>
      <c r="AN55" s="745">
        <f t="shared" si="20"/>
        <v>0</v>
      </c>
      <c r="AO55" s="745">
        <f t="shared" si="20"/>
        <v>0</v>
      </c>
      <c r="AP55" s="745">
        <f t="shared" si="20"/>
        <v>0</v>
      </c>
      <c r="AQ55" s="745">
        <f t="shared" si="20"/>
        <v>0</v>
      </c>
      <c r="AR55" s="746">
        <f t="shared" si="20"/>
        <v>0</v>
      </c>
    </row>
    <row r="56" spans="1:44">
      <c r="A56" s="690" t="str">
        <f>IF(ISBLANK(+A15),"",A15)</f>
        <v/>
      </c>
      <c r="B56" s="1083"/>
      <c r="C56" s="1083"/>
      <c r="D56" s="1083"/>
      <c r="E56" s="745">
        <f>+$D15*E15</f>
        <v>0</v>
      </c>
      <c r="F56" s="745">
        <f t="shared" ref="F56:P56" si="21">+$D15*F15</f>
        <v>0</v>
      </c>
      <c r="G56" s="745">
        <f t="shared" si="21"/>
        <v>0</v>
      </c>
      <c r="H56" s="745">
        <f t="shared" si="21"/>
        <v>0</v>
      </c>
      <c r="I56" s="745">
        <f t="shared" si="21"/>
        <v>0</v>
      </c>
      <c r="J56" s="745">
        <f t="shared" si="21"/>
        <v>0</v>
      </c>
      <c r="K56" s="745">
        <f t="shared" si="21"/>
        <v>0</v>
      </c>
      <c r="L56" s="745">
        <f t="shared" si="21"/>
        <v>0</v>
      </c>
      <c r="M56" s="745">
        <f t="shared" si="21"/>
        <v>0</v>
      </c>
      <c r="N56" s="745">
        <f t="shared" si="21"/>
        <v>0</v>
      </c>
      <c r="O56" s="745">
        <f t="shared" si="21"/>
        <v>0</v>
      </c>
      <c r="P56" s="745">
        <f t="shared" si="21"/>
        <v>0</v>
      </c>
      <c r="Q56" s="563"/>
      <c r="R56" s="690"/>
      <c r="S56" s="745">
        <f t="shared" ref="S56:AD56" si="22">+$R15*S15</f>
        <v>0</v>
      </c>
      <c r="T56" s="745">
        <f t="shared" si="22"/>
        <v>0</v>
      </c>
      <c r="U56" s="745">
        <f t="shared" si="22"/>
        <v>0</v>
      </c>
      <c r="V56" s="745">
        <f t="shared" si="22"/>
        <v>0</v>
      </c>
      <c r="W56" s="745">
        <f t="shared" si="22"/>
        <v>0</v>
      </c>
      <c r="X56" s="745">
        <f t="shared" si="22"/>
        <v>0</v>
      </c>
      <c r="Y56" s="745">
        <f t="shared" si="22"/>
        <v>0</v>
      </c>
      <c r="Z56" s="745">
        <f t="shared" si="22"/>
        <v>0</v>
      </c>
      <c r="AA56" s="745">
        <f t="shared" si="22"/>
        <v>0</v>
      </c>
      <c r="AB56" s="745">
        <f t="shared" si="22"/>
        <v>0</v>
      </c>
      <c r="AC56" s="745">
        <f t="shared" si="22"/>
        <v>0</v>
      </c>
      <c r="AD56" s="746">
        <f t="shared" si="22"/>
        <v>0</v>
      </c>
      <c r="AF56" s="690"/>
      <c r="AG56" s="745">
        <f t="shared" ref="AG56:AR56" si="23">+$AF15*AG15</f>
        <v>0</v>
      </c>
      <c r="AH56" s="745">
        <f t="shared" si="23"/>
        <v>0</v>
      </c>
      <c r="AI56" s="745">
        <f t="shared" si="23"/>
        <v>0</v>
      </c>
      <c r="AJ56" s="745">
        <f t="shared" si="23"/>
        <v>0</v>
      </c>
      <c r="AK56" s="745">
        <f t="shared" si="23"/>
        <v>0</v>
      </c>
      <c r="AL56" s="745">
        <f t="shared" si="23"/>
        <v>0</v>
      </c>
      <c r="AM56" s="745">
        <f t="shared" si="23"/>
        <v>0</v>
      </c>
      <c r="AN56" s="745">
        <f t="shared" si="23"/>
        <v>0</v>
      </c>
      <c r="AO56" s="745">
        <f t="shared" si="23"/>
        <v>0</v>
      </c>
      <c r="AP56" s="745">
        <f t="shared" si="23"/>
        <v>0</v>
      </c>
      <c r="AQ56" s="745">
        <f t="shared" si="23"/>
        <v>0</v>
      </c>
      <c r="AR56" s="746">
        <f t="shared" si="23"/>
        <v>0</v>
      </c>
    </row>
    <row r="57" spans="1:44">
      <c r="A57" s="691" t="str">
        <f>IF(ISBLANK(+A16),"",A16)</f>
        <v/>
      </c>
      <c r="B57" s="1084"/>
      <c r="C57" s="1084"/>
      <c r="D57" s="1084"/>
      <c r="E57" s="747">
        <f>+$D16*E16</f>
        <v>0</v>
      </c>
      <c r="F57" s="747">
        <f t="shared" ref="F57:P57" si="24">+$D16*F16</f>
        <v>0</v>
      </c>
      <c r="G57" s="747">
        <f t="shared" si="24"/>
        <v>0</v>
      </c>
      <c r="H57" s="747">
        <f t="shared" si="24"/>
        <v>0</v>
      </c>
      <c r="I57" s="747">
        <f t="shared" si="24"/>
        <v>0</v>
      </c>
      <c r="J57" s="747">
        <f t="shared" si="24"/>
        <v>0</v>
      </c>
      <c r="K57" s="747">
        <f t="shared" si="24"/>
        <v>0</v>
      </c>
      <c r="L57" s="747">
        <f t="shared" si="24"/>
        <v>0</v>
      </c>
      <c r="M57" s="747">
        <f t="shared" si="24"/>
        <v>0</v>
      </c>
      <c r="N57" s="747">
        <f t="shared" si="24"/>
        <v>0</v>
      </c>
      <c r="O57" s="747">
        <f t="shared" si="24"/>
        <v>0</v>
      </c>
      <c r="P57" s="747">
        <f t="shared" si="24"/>
        <v>0</v>
      </c>
      <c r="Q57" s="563"/>
      <c r="R57" s="691"/>
      <c r="S57" s="747">
        <f t="shared" ref="S57:AD57" si="25">+$R16*S16</f>
        <v>0</v>
      </c>
      <c r="T57" s="747">
        <f t="shared" si="25"/>
        <v>0</v>
      </c>
      <c r="U57" s="747">
        <f t="shared" si="25"/>
        <v>0</v>
      </c>
      <c r="V57" s="747">
        <f t="shared" si="25"/>
        <v>0</v>
      </c>
      <c r="W57" s="747">
        <f t="shared" si="25"/>
        <v>0</v>
      </c>
      <c r="X57" s="747">
        <f t="shared" si="25"/>
        <v>0</v>
      </c>
      <c r="Y57" s="747">
        <f t="shared" si="25"/>
        <v>0</v>
      </c>
      <c r="Z57" s="747">
        <f t="shared" si="25"/>
        <v>0</v>
      </c>
      <c r="AA57" s="747">
        <f t="shared" si="25"/>
        <v>0</v>
      </c>
      <c r="AB57" s="747">
        <f t="shared" si="25"/>
        <v>0</v>
      </c>
      <c r="AC57" s="747">
        <f t="shared" si="25"/>
        <v>0</v>
      </c>
      <c r="AD57" s="748">
        <f t="shared" si="25"/>
        <v>0</v>
      </c>
      <c r="AF57" s="691"/>
      <c r="AG57" s="747">
        <f t="shared" ref="AG57:AR57" si="26">+$AF16*AG16</f>
        <v>0</v>
      </c>
      <c r="AH57" s="747">
        <f t="shared" si="26"/>
        <v>0</v>
      </c>
      <c r="AI57" s="747">
        <f t="shared" si="26"/>
        <v>0</v>
      </c>
      <c r="AJ57" s="747">
        <f t="shared" si="26"/>
        <v>0</v>
      </c>
      <c r="AK57" s="747">
        <f t="shared" si="26"/>
        <v>0</v>
      </c>
      <c r="AL57" s="747">
        <f t="shared" si="26"/>
        <v>0</v>
      </c>
      <c r="AM57" s="747">
        <f t="shared" si="26"/>
        <v>0</v>
      </c>
      <c r="AN57" s="747">
        <f t="shared" si="26"/>
        <v>0</v>
      </c>
      <c r="AO57" s="747">
        <f t="shared" si="26"/>
        <v>0</v>
      </c>
      <c r="AP57" s="747">
        <f t="shared" si="26"/>
        <v>0</v>
      </c>
      <c r="AQ57" s="747">
        <f t="shared" si="26"/>
        <v>0</v>
      </c>
      <c r="AR57" s="748">
        <f t="shared" si="26"/>
        <v>0</v>
      </c>
    </row>
    <row r="58" spans="1:44" ht="16">
      <c r="A58" s="1075" t="str">
        <f>"Total Net  Revenue "&amp;A53</f>
        <v>Total Net  Revenue Product 2</v>
      </c>
      <c r="B58" s="1090"/>
      <c r="C58" s="1090"/>
      <c r="D58" s="1090"/>
      <c r="E58" s="1076">
        <f t="shared" ref="E58:P58" si="27">SUM(E54:E57)</f>
        <v>0</v>
      </c>
      <c r="F58" s="1076">
        <f t="shared" si="27"/>
        <v>2100</v>
      </c>
      <c r="G58" s="1076">
        <f t="shared" si="27"/>
        <v>3500</v>
      </c>
      <c r="H58" s="1076">
        <f t="shared" si="27"/>
        <v>5600</v>
      </c>
      <c r="I58" s="1076">
        <f t="shared" si="27"/>
        <v>7000</v>
      </c>
      <c r="J58" s="1076">
        <f t="shared" si="27"/>
        <v>7000</v>
      </c>
      <c r="K58" s="1076">
        <f t="shared" si="27"/>
        <v>7000</v>
      </c>
      <c r="L58" s="1076">
        <f t="shared" si="27"/>
        <v>7700</v>
      </c>
      <c r="M58" s="1076">
        <f t="shared" si="27"/>
        <v>8400</v>
      </c>
      <c r="N58" s="1076">
        <f t="shared" si="27"/>
        <v>8400</v>
      </c>
      <c r="O58" s="1076">
        <f t="shared" si="27"/>
        <v>8400</v>
      </c>
      <c r="P58" s="1077">
        <f t="shared" si="27"/>
        <v>4900.0000000000009</v>
      </c>
      <c r="Q58" s="563"/>
      <c r="R58" s="1075"/>
      <c r="S58" s="1076">
        <f t="shared" ref="S58:AD58" si="28">SUM(S54:S57)</f>
        <v>0</v>
      </c>
      <c r="T58" s="1076">
        <f t="shared" si="28"/>
        <v>2730</v>
      </c>
      <c r="U58" s="1076">
        <f t="shared" si="28"/>
        <v>4550</v>
      </c>
      <c r="V58" s="1076">
        <f t="shared" si="28"/>
        <v>7280</v>
      </c>
      <c r="W58" s="1076">
        <f t="shared" si="28"/>
        <v>9100</v>
      </c>
      <c r="X58" s="1076">
        <f t="shared" si="28"/>
        <v>9100</v>
      </c>
      <c r="Y58" s="1076">
        <f t="shared" si="28"/>
        <v>9100</v>
      </c>
      <c r="Z58" s="1076">
        <f t="shared" si="28"/>
        <v>10010</v>
      </c>
      <c r="AA58" s="1076">
        <f t="shared" si="28"/>
        <v>10920</v>
      </c>
      <c r="AB58" s="1076">
        <f t="shared" si="28"/>
        <v>10920</v>
      </c>
      <c r="AC58" s="1076">
        <f t="shared" si="28"/>
        <v>10920</v>
      </c>
      <c r="AD58" s="1077">
        <f t="shared" si="28"/>
        <v>6370.0000000000009</v>
      </c>
      <c r="AF58" s="1075"/>
      <c r="AG58" s="1076">
        <f t="shared" ref="AG58:AR58" si="29">SUM(AG54:AG57)</f>
        <v>0</v>
      </c>
      <c r="AH58" s="1076">
        <f t="shared" si="29"/>
        <v>4680</v>
      </c>
      <c r="AI58" s="1076">
        <f t="shared" si="29"/>
        <v>7800</v>
      </c>
      <c r="AJ58" s="1076">
        <f t="shared" si="29"/>
        <v>12480</v>
      </c>
      <c r="AK58" s="1076">
        <f t="shared" si="29"/>
        <v>15600</v>
      </c>
      <c r="AL58" s="1076">
        <f t="shared" si="29"/>
        <v>15600</v>
      </c>
      <c r="AM58" s="1076">
        <f t="shared" si="29"/>
        <v>15600</v>
      </c>
      <c r="AN58" s="1076">
        <f t="shared" si="29"/>
        <v>17160</v>
      </c>
      <c r="AO58" s="1076">
        <f t="shared" si="29"/>
        <v>18720</v>
      </c>
      <c r="AP58" s="1076">
        <f t="shared" si="29"/>
        <v>18720</v>
      </c>
      <c r="AQ58" s="1076">
        <f t="shared" si="29"/>
        <v>18720</v>
      </c>
      <c r="AR58" s="1077">
        <f t="shared" si="29"/>
        <v>10920.000000000002</v>
      </c>
    </row>
    <row r="59" spans="1:44" ht="13" customHeight="1">
      <c r="A59" s="565"/>
      <c r="B59" s="1086"/>
      <c r="C59" s="1086"/>
      <c r="D59" s="1086"/>
      <c r="E59" s="564"/>
      <c r="F59" s="564"/>
      <c r="G59" s="564"/>
      <c r="H59" s="564"/>
      <c r="I59" s="564"/>
      <c r="J59" s="564"/>
      <c r="K59" s="564"/>
      <c r="L59" s="564"/>
      <c r="M59" s="564"/>
      <c r="N59" s="564"/>
      <c r="O59" s="564"/>
      <c r="P59" s="564"/>
      <c r="Q59" s="563"/>
      <c r="R59" s="1086"/>
      <c r="S59" s="564"/>
      <c r="T59" s="564"/>
      <c r="U59" s="564"/>
      <c r="V59" s="564"/>
      <c r="W59" s="564"/>
      <c r="X59" s="564"/>
      <c r="Y59" s="564"/>
      <c r="Z59" s="564"/>
      <c r="AA59" s="564"/>
      <c r="AB59" s="564"/>
      <c r="AC59" s="564"/>
      <c r="AD59" s="564"/>
      <c r="AF59" s="1086"/>
      <c r="AG59" s="564"/>
      <c r="AH59" s="564"/>
      <c r="AI59" s="564"/>
      <c r="AJ59" s="564"/>
      <c r="AK59" s="564"/>
      <c r="AL59" s="564"/>
      <c r="AM59" s="564"/>
      <c r="AN59" s="564"/>
      <c r="AO59" s="564"/>
      <c r="AP59" s="564"/>
      <c r="AQ59" s="564"/>
      <c r="AR59" s="564"/>
    </row>
    <row r="61" spans="1:44" ht="21">
      <c r="A61" s="1087" t="str">
        <f>+A19</f>
        <v>Product 3</v>
      </c>
      <c r="B61" s="1088"/>
      <c r="C61" s="1088"/>
      <c r="D61" s="1089"/>
      <c r="E61" s="673" t="s">
        <v>163</v>
      </c>
      <c r="F61" s="673" t="s">
        <v>164</v>
      </c>
      <c r="G61" s="673" t="s">
        <v>48</v>
      </c>
      <c r="H61" s="673" t="s">
        <v>7</v>
      </c>
      <c r="I61" s="673" t="s">
        <v>49</v>
      </c>
      <c r="J61" s="673" t="s">
        <v>9</v>
      </c>
      <c r="K61" s="673" t="s">
        <v>10</v>
      </c>
      <c r="L61" s="673" t="s">
        <v>11</v>
      </c>
      <c r="M61" s="673" t="s">
        <v>12</v>
      </c>
      <c r="N61" s="673" t="s">
        <v>50</v>
      </c>
      <c r="O61" s="673" t="s">
        <v>2</v>
      </c>
      <c r="P61" s="673" t="s">
        <v>51</v>
      </c>
      <c r="Q61" s="698"/>
      <c r="R61" s="712"/>
      <c r="S61" s="673" t="s">
        <v>163</v>
      </c>
      <c r="T61" s="673" t="s">
        <v>164</v>
      </c>
      <c r="U61" s="673" t="s">
        <v>48</v>
      </c>
      <c r="V61" s="673" t="s">
        <v>7</v>
      </c>
      <c r="W61" s="673" t="s">
        <v>49</v>
      </c>
      <c r="X61" s="673" t="s">
        <v>9</v>
      </c>
      <c r="Y61" s="673" t="s">
        <v>10</v>
      </c>
      <c r="Z61" s="673" t="s">
        <v>11</v>
      </c>
      <c r="AA61" s="673" t="s">
        <v>12</v>
      </c>
      <c r="AB61" s="673" t="s">
        <v>50</v>
      </c>
      <c r="AC61" s="673" t="s">
        <v>2</v>
      </c>
      <c r="AD61" s="673" t="s">
        <v>51</v>
      </c>
      <c r="AF61" s="712"/>
      <c r="AG61" s="673" t="s">
        <v>163</v>
      </c>
      <c r="AH61" s="673" t="s">
        <v>164</v>
      </c>
      <c r="AI61" s="673" t="s">
        <v>48</v>
      </c>
      <c r="AJ61" s="673" t="s">
        <v>7</v>
      </c>
      <c r="AK61" s="673" t="s">
        <v>49</v>
      </c>
      <c r="AL61" s="673" t="s">
        <v>9</v>
      </c>
      <c r="AM61" s="673" t="s">
        <v>10</v>
      </c>
      <c r="AN61" s="673" t="s">
        <v>11</v>
      </c>
      <c r="AO61" s="673" t="s">
        <v>12</v>
      </c>
      <c r="AP61" s="673" t="s">
        <v>50</v>
      </c>
      <c r="AQ61" s="673" t="s">
        <v>2</v>
      </c>
      <c r="AR61" s="673" t="s">
        <v>51</v>
      </c>
    </row>
    <row r="62" spans="1:44">
      <c r="A62" s="689" t="str">
        <f>IF(ISBLANK(+A21),"",A21)</f>
        <v>samle customer 1</v>
      </c>
      <c r="B62" s="1082"/>
      <c r="C62" s="1082"/>
      <c r="D62" s="1082"/>
      <c r="E62" s="743">
        <f>+$D21*E21</f>
        <v>1249.9950000000001</v>
      </c>
      <c r="F62" s="743">
        <f t="shared" ref="F62:P62" si="30">+$D21*F21</f>
        <v>1249.9950000000001</v>
      </c>
      <c r="G62" s="743">
        <f t="shared" si="30"/>
        <v>1249.9950000000001</v>
      </c>
      <c r="H62" s="743">
        <f t="shared" si="30"/>
        <v>1249.9950000000001</v>
      </c>
      <c r="I62" s="743">
        <f t="shared" si="30"/>
        <v>1249.9950000000001</v>
      </c>
      <c r="J62" s="743">
        <f t="shared" si="30"/>
        <v>1249.9950000000001</v>
      </c>
      <c r="K62" s="743">
        <f t="shared" si="30"/>
        <v>1249.9950000000001</v>
      </c>
      <c r="L62" s="743">
        <f t="shared" si="30"/>
        <v>1249.9950000000001</v>
      </c>
      <c r="M62" s="743">
        <f t="shared" si="30"/>
        <v>1249.9950000000001</v>
      </c>
      <c r="N62" s="743">
        <f t="shared" si="30"/>
        <v>1249.9950000000001</v>
      </c>
      <c r="O62" s="743">
        <f t="shared" si="30"/>
        <v>1249.9950000000001</v>
      </c>
      <c r="P62" s="744">
        <f t="shared" si="30"/>
        <v>1249.9950000000001</v>
      </c>
      <c r="Q62" s="563"/>
      <c r="R62" s="689"/>
      <c r="S62" s="743">
        <f>+$R21*S21</f>
        <v>2499.9900000000002</v>
      </c>
      <c r="T62" s="743">
        <f t="shared" ref="T62:AD62" si="31">+$R21*T21</f>
        <v>2499.9900000000002</v>
      </c>
      <c r="U62" s="743">
        <f t="shared" si="31"/>
        <v>2499.9900000000002</v>
      </c>
      <c r="V62" s="743">
        <f t="shared" si="31"/>
        <v>2499.9900000000002</v>
      </c>
      <c r="W62" s="743">
        <f t="shared" si="31"/>
        <v>2499.9900000000002</v>
      </c>
      <c r="X62" s="743">
        <f t="shared" si="31"/>
        <v>2499.9900000000002</v>
      </c>
      <c r="Y62" s="743">
        <f t="shared" si="31"/>
        <v>2499.9900000000002</v>
      </c>
      <c r="Z62" s="743">
        <f t="shared" si="31"/>
        <v>2499.9900000000002</v>
      </c>
      <c r="AA62" s="743">
        <f t="shared" si="31"/>
        <v>2499.9900000000002</v>
      </c>
      <c r="AB62" s="743">
        <f t="shared" si="31"/>
        <v>2499.9900000000002</v>
      </c>
      <c r="AC62" s="743">
        <f t="shared" si="31"/>
        <v>2499.9900000000002</v>
      </c>
      <c r="AD62" s="744">
        <f t="shared" si="31"/>
        <v>2499.9900000000002</v>
      </c>
      <c r="AF62" s="689"/>
      <c r="AG62" s="743">
        <f>+$AF21*AG21</f>
        <v>6249.9750000000004</v>
      </c>
      <c r="AH62" s="743">
        <f t="shared" ref="AH62:AR62" si="32">+$AF21*AH21</f>
        <v>6249.9750000000004</v>
      </c>
      <c r="AI62" s="743">
        <f t="shared" si="32"/>
        <v>6249.9750000000004</v>
      </c>
      <c r="AJ62" s="743">
        <f t="shared" si="32"/>
        <v>6249.9750000000004</v>
      </c>
      <c r="AK62" s="743">
        <f t="shared" si="32"/>
        <v>6249.9750000000004</v>
      </c>
      <c r="AL62" s="743">
        <f t="shared" si="32"/>
        <v>6249.9750000000004</v>
      </c>
      <c r="AM62" s="743">
        <f t="shared" si="32"/>
        <v>6249.9750000000004</v>
      </c>
      <c r="AN62" s="743">
        <f t="shared" si="32"/>
        <v>6249.9750000000004</v>
      </c>
      <c r="AO62" s="743">
        <f t="shared" si="32"/>
        <v>6249.9750000000004</v>
      </c>
      <c r="AP62" s="743">
        <f t="shared" si="32"/>
        <v>6249.9750000000004</v>
      </c>
      <c r="AQ62" s="743">
        <f t="shared" si="32"/>
        <v>6249.9750000000004</v>
      </c>
      <c r="AR62" s="744">
        <f t="shared" si="32"/>
        <v>6249.9750000000004</v>
      </c>
    </row>
    <row r="63" spans="1:44">
      <c r="A63" s="690" t="str">
        <f>IF(ISBLANK(+A22),"",A22)</f>
        <v>samle customer 2</v>
      </c>
      <c r="B63" s="1083"/>
      <c r="C63" s="1083"/>
      <c r="D63" s="1083"/>
      <c r="E63" s="745">
        <f t="shared" ref="E63:P63" si="33">+$D22*E22</f>
        <v>0</v>
      </c>
      <c r="F63" s="745">
        <f t="shared" si="33"/>
        <v>0</v>
      </c>
      <c r="G63" s="745">
        <f t="shared" si="33"/>
        <v>0</v>
      </c>
      <c r="H63" s="745">
        <f t="shared" si="33"/>
        <v>1000</v>
      </c>
      <c r="I63" s="745">
        <f t="shared" si="33"/>
        <v>0</v>
      </c>
      <c r="J63" s="745">
        <f t="shared" si="33"/>
        <v>0</v>
      </c>
      <c r="K63" s="745">
        <f t="shared" si="33"/>
        <v>0</v>
      </c>
      <c r="L63" s="745">
        <f t="shared" si="33"/>
        <v>0</v>
      </c>
      <c r="M63" s="745">
        <f t="shared" si="33"/>
        <v>0</v>
      </c>
      <c r="N63" s="745">
        <f t="shared" si="33"/>
        <v>0</v>
      </c>
      <c r="O63" s="745">
        <f t="shared" si="33"/>
        <v>0</v>
      </c>
      <c r="P63" s="745">
        <f t="shared" si="33"/>
        <v>0</v>
      </c>
      <c r="Q63" s="563"/>
      <c r="R63" s="690"/>
      <c r="S63" s="745">
        <f t="shared" ref="S63:AD63" si="34">+$R22*S22</f>
        <v>0</v>
      </c>
      <c r="T63" s="745">
        <f t="shared" si="34"/>
        <v>0</v>
      </c>
      <c r="U63" s="745">
        <f t="shared" si="34"/>
        <v>1000</v>
      </c>
      <c r="V63" s="745">
        <f t="shared" si="34"/>
        <v>0</v>
      </c>
      <c r="W63" s="745">
        <f t="shared" si="34"/>
        <v>0</v>
      </c>
      <c r="X63" s="745">
        <f t="shared" si="34"/>
        <v>0</v>
      </c>
      <c r="Y63" s="745">
        <f t="shared" si="34"/>
        <v>0</v>
      </c>
      <c r="Z63" s="745">
        <f t="shared" si="34"/>
        <v>0</v>
      </c>
      <c r="AA63" s="745">
        <f t="shared" si="34"/>
        <v>0</v>
      </c>
      <c r="AB63" s="745">
        <f t="shared" si="34"/>
        <v>0</v>
      </c>
      <c r="AC63" s="745">
        <f t="shared" si="34"/>
        <v>0</v>
      </c>
      <c r="AD63" s="746">
        <f t="shared" si="34"/>
        <v>0</v>
      </c>
      <c r="AF63" s="690"/>
      <c r="AG63" s="745">
        <f t="shared" ref="AG63:AR63" si="35">+$AF22*AG22</f>
        <v>0</v>
      </c>
      <c r="AH63" s="745">
        <f t="shared" si="35"/>
        <v>0</v>
      </c>
      <c r="AI63" s="745">
        <f t="shared" si="35"/>
        <v>0</v>
      </c>
      <c r="AJ63" s="745">
        <f t="shared" si="35"/>
        <v>0</v>
      </c>
      <c r="AK63" s="745">
        <f t="shared" si="35"/>
        <v>2500</v>
      </c>
      <c r="AL63" s="745">
        <f t="shared" si="35"/>
        <v>0</v>
      </c>
      <c r="AM63" s="745">
        <f t="shared" si="35"/>
        <v>0</v>
      </c>
      <c r="AN63" s="745">
        <f t="shared" si="35"/>
        <v>0</v>
      </c>
      <c r="AO63" s="745">
        <f t="shared" si="35"/>
        <v>0</v>
      </c>
      <c r="AP63" s="745">
        <f t="shared" si="35"/>
        <v>0</v>
      </c>
      <c r="AQ63" s="745">
        <f t="shared" si="35"/>
        <v>0</v>
      </c>
      <c r="AR63" s="746">
        <f t="shared" si="35"/>
        <v>0</v>
      </c>
    </row>
    <row r="64" spans="1:44">
      <c r="A64" s="690" t="str">
        <f>IF(ISBLANK(+A23),"",A23)</f>
        <v/>
      </c>
      <c r="B64" s="1083"/>
      <c r="C64" s="1083"/>
      <c r="D64" s="1083"/>
      <c r="E64" s="745">
        <f t="shared" ref="E64:P64" si="36">+$D23*E23</f>
        <v>0</v>
      </c>
      <c r="F64" s="745">
        <f t="shared" si="36"/>
        <v>0</v>
      </c>
      <c r="G64" s="745">
        <f t="shared" si="36"/>
        <v>0</v>
      </c>
      <c r="H64" s="745">
        <f t="shared" si="36"/>
        <v>0</v>
      </c>
      <c r="I64" s="745">
        <f t="shared" si="36"/>
        <v>0</v>
      </c>
      <c r="J64" s="745">
        <f t="shared" si="36"/>
        <v>0</v>
      </c>
      <c r="K64" s="745">
        <f t="shared" si="36"/>
        <v>0</v>
      </c>
      <c r="L64" s="745">
        <f t="shared" si="36"/>
        <v>0</v>
      </c>
      <c r="M64" s="745">
        <f t="shared" si="36"/>
        <v>0</v>
      </c>
      <c r="N64" s="745">
        <f t="shared" si="36"/>
        <v>0</v>
      </c>
      <c r="O64" s="745">
        <f t="shared" si="36"/>
        <v>0</v>
      </c>
      <c r="P64" s="745">
        <f t="shared" si="36"/>
        <v>0</v>
      </c>
      <c r="Q64" s="563"/>
      <c r="R64" s="690"/>
      <c r="S64" s="745">
        <f t="shared" ref="S64:AD64" si="37">+$R23*S23</f>
        <v>0</v>
      </c>
      <c r="T64" s="745">
        <f t="shared" si="37"/>
        <v>0</v>
      </c>
      <c r="U64" s="745">
        <f t="shared" si="37"/>
        <v>0</v>
      </c>
      <c r="V64" s="745">
        <f t="shared" si="37"/>
        <v>0</v>
      </c>
      <c r="W64" s="745">
        <f t="shared" si="37"/>
        <v>0</v>
      </c>
      <c r="X64" s="745">
        <f t="shared" si="37"/>
        <v>0</v>
      </c>
      <c r="Y64" s="745">
        <f t="shared" si="37"/>
        <v>0</v>
      </c>
      <c r="Z64" s="745">
        <f t="shared" si="37"/>
        <v>0</v>
      </c>
      <c r="AA64" s="745">
        <f t="shared" si="37"/>
        <v>0</v>
      </c>
      <c r="AB64" s="745">
        <f t="shared" si="37"/>
        <v>0</v>
      </c>
      <c r="AC64" s="745">
        <f t="shared" si="37"/>
        <v>0</v>
      </c>
      <c r="AD64" s="746">
        <f t="shared" si="37"/>
        <v>0</v>
      </c>
      <c r="AF64" s="690"/>
      <c r="AG64" s="745">
        <f t="shared" ref="AG64:AR64" si="38">+$AF23*AG23</f>
        <v>0</v>
      </c>
      <c r="AH64" s="745">
        <f t="shared" si="38"/>
        <v>0</v>
      </c>
      <c r="AI64" s="745">
        <f t="shared" si="38"/>
        <v>0</v>
      </c>
      <c r="AJ64" s="745">
        <f t="shared" si="38"/>
        <v>0</v>
      </c>
      <c r="AK64" s="745">
        <f t="shared" si="38"/>
        <v>0</v>
      </c>
      <c r="AL64" s="745">
        <f t="shared" si="38"/>
        <v>0</v>
      </c>
      <c r="AM64" s="745">
        <f t="shared" si="38"/>
        <v>0</v>
      </c>
      <c r="AN64" s="745">
        <f t="shared" si="38"/>
        <v>0</v>
      </c>
      <c r="AO64" s="745">
        <f t="shared" si="38"/>
        <v>0</v>
      </c>
      <c r="AP64" s="745">
        <f t="shared" si="38"/>
        <v>0</v>
      </c>
      <c r="AQ64" s="745">
        <f t="shared" si="38"/>
        <v>0</v>
      </c>
      <c r="AR64" s="746">
        <f t="shared" si="38"/>
        <v>0</v>
      </c>
    </row>
    <row r="65" spans="1:44">
      <c r="A65" s="691" t="str">
        <f>IF(ISBLANK(+A24),"",A24)</f>
        <v/>
      </c>
      <c r="B65" s="1084"/>
      <c r="C65" s="1084"/>
      <c r="D65" s="1084"/>
      <c r="E65" s="747">
        <f t="shared" ref="E65:P65" si="39">+$D24*E24</f>
        <v>0</v>
      </c>
      <c r="F65" s="747">
        <f t="shared" si="39"/>
        <v>0</v>
      </c>
      <c r="G65" s="747">
        <f t="shared" si="39"/>
        <v>0</v>
      </c>
      <c r="H65" s="747">
        <f t="shared" si="39"/>
        <v>0</v>
      </c>
      <c r="I65" s="747">
        <f t="shared" si="39"/>
        <v>0</v>
      </c>
      <c r="J65" s="747">
        <f t="shared" si="39"/>
        <v>0</v>
      </c>
      <c r="K65" s="747">
        <f t="shared" si="39"/>
        <v>0</v>
      </c>
      <c r="L65" s="747">
        <f t="shared" si="39"/>
        <v>0</v>
      </c>
      <c r="M65" s="747">
        <f t="shared" si="39"/>
        <v>0</v>
      </c>
      <c r="N65" s="747">
        <f t="shared" si="39"/>
        <v>0</v>
      </c>
      <c r="O65" s="747">
        <f t="shared" si="39"/>
        <v>0</v>
      </c>
      <c r="P65" s="747">
        <f t="shared" si="39"/>
        <v>0</v>
      </c>
      <c r="Q65" s="563"/>
      <c r="R65" s="691"/>
      <c r="S65" s="747">
        <f t="shared" ref="S65:AD65" si="40">+$R24*S24</f>
        <v>0</v>
      </c>
      <c r="T65" s="747">
        <f t="shared" si="40"/>
        <v>0</v>
      </c>
      <c r="U65" s="747">
        <f t="shared" si="40"/>
        <v>0</v>
      </c>
      <c r="V65" s="747">
        <f t="shared" si="40"/>
        <v>0</v>
      </c>
      <c r="W65" s="747">
        <f t="shared" si="40"/>
        <v>0</v>
      </c>
      <c r="X65" s="747">
        <f t="shared" si="40"/>
        <v>0</v>
      </c>
      <c r="Y65" s="747">
        <f t="shared" si="40"/>
        <v>0</v>
      </c>
      <c r="Z65" s="747">
        <f t="shared" si="40"/>
        <v>0</v>
      </c>
      <c r="AA65" s="747">
        <f t="shared" si="40"/>
        <v>0</v>
      </c>
      <c r="AB65" s="747">
        <f t="shared" si="40"/>
        <v>0</v>
      </c>
      <c r="AC65" s="747">
        <f t="shared" si="40"/>
        <v>0</v>
      </c>
      <c r="AD65" s="748">
        <f t="shared" si="40"/>
        <v>0</v>
      </c>
      <c r="AF65" s="691"/>
      <c r="AG65" s="747">
        <f t="shared" ref="AG65:AR65" si="41">+$AF24*AG24</f>
        <v>0</v>
      </c>
      <c r="AH65" s="747">
        <f t="shared" si="41"/>
        <v>0</v>
      </c>
      <c r="AI65" s="747">
        <f t="shared" si="41"/>
        <v>0</v>
      </c>
      <c r="AJ65" s="747">
        <f t="shared" si="41"/>
        <v>0</v>
      </c>
      <c r="AK65" s="747">
        <f t="shared" si="41"/>
        <v>0</v>
      </c>
      <c r="AL65" s="747">
        <f t="shared" si="41"/>
        <v>0</v>
      </c>
      <c r="AM65" s="747">
        <f t="shared" si="41"/>
        <v>0</v>
      </c>
      <c r="AN65" s="747">
        <f t="shared" si="41"/>
        <v>0</v>
      </c>
      <c r="AO65" s="747">
        <f t="shared" si="41"/>
        <v>0</v>
      </c>
      <c r="AP65" s="747">
        <f t="shared" si="41"/>
        <v>0</v>
      </c>
      <c r="AQ65" s="747">
        <f t="shared" si="41"/>
        <v>0</v>
      </c>
      <c r="AR65" s="748">
        <f t="shared" si="41"/>
        <v>0</v>
      </c>
    </row>
    <row r="66" spans="1:44" ht="16">
      <c r="A66" s="1075" t="str">
        <f>"Total Net  Revenue "&amp;A61</f>
        <v>Total Net  Revenue Product 3</v>
      </c>
      <c r="B66" s="1090"/>
      <c r="C66" s="1090"/>
      <c r="D66" s="1090"/>
      <c r="E66" s="1076">
        <f t="shared" ref="E66:P66" si="42">SUM(E62:E65)</f>
        <v>1249.9950000000001</v>
      </c>
      <c r="F66" s="1076">
        <f t="shared" si="42"/>
        <v>1249.9950000000001</v>
      </c>
      <c r="G66" s="1076">
        <f t="shared" si="42"/>
        <v>1249.9950000000001</v>
      </c>
      <c r="H66" s="1076">
        <f t="shared" si="42"/>
        <v>2249.9949999999999</v>
      </c>
      <c r="I66" s="1076">
        <f t="shared" si="42"/>
        <v>1249.9950000000001</v>
      </c>
      <c r="J66" s="1076">
        <f t="shared" si="42"/>
        <v>1249.9950000000001</v>
      </c>
      <c r="K66" s="1076">
        <f t="shared" si="42"/>
        <v>1249.9950000000001</v>
      </c>
      <c r="L66" s="1076">
        <f t="shared" si="42"/>
        <v>1249.9950000000001</v>
      </c>
      <c r="M66" s="1076">
        <f t="shared" si="42"/>
        <v>1249.9950000000001</v>
      </c>
      <c r="N66" s="1076">
        <f t="shared" si="42"/>
        <v>1249.9950000000001</v>
      </c>
      <c r="O66" s="1076">
        <f t="shared" si="42"/>
        <v>1249.9950000000001</v>
      </c>
      <c r="P66" s="1077">
        <f t="shared" si="42"/>
        <v>1249.9950000000001</v>
      </c>
      <c r="Q66" s="563"/>
      <c r="R66" s="1075"/>
      <c r="S66" s="1076">
        <f t="shared" ref="S66:AD66" si="43">SUM(S62:S65)</f>
        <v>2499.9900000000002</v>
      </c>
      <c r="T66" s="1076">
        <f t="shared" si="43"/>
        <v>2499.9900000000002</v>
      </c>
      <c r="U66" s="1076">
        <f t="shared" si="43"/>
        <v>3499.9900000000002</v>
      </c>
      <c r="V66" s="1076">
        <f t="shared" si="43"/>
        <v>2499.9900000000002</v>
      </c>
      <c r="W66" s="1076">
        <f t="shared" si="43"/>
        <v>2499.9900000000002</v>
      </c>
      <c r="X66" s="1076">
        <f t="shared" si="43"/>
        <v>2499.9900000000002</v>
      </c>
      <c r="Y66" s="1076">
        <f t="shared" si="43"/>
        <v>2499.9900000000002</v>
      </c>
      <c r="Z66" s="1076">
        <f t="shared" si="43"/>
        <v>2499.9900000000002</v>
      </c>
      <c r="AA66" s="1076">
        <f t="shared" si="43"/>
        <v>2499.9900000000002</v>
      </c>
      <c r="AB66" s="1076">
        <f t="shared" si="43"/>
        <v>2499.9900000000002</v>
      </c>
      <c r="AC66" s="1076">
        <f t="shared" si="43"/>
        <v>2499.9900000000002</v>
      </c>
      <c r="AD66" s="1077">
        <f t="shared" si="43"/>
        <v>2499.9900000000002</v>
      </c>
      <c r="AF66" s="1075"/>
      <c r="AG66" s="1076">
        <f t="shared" ref="AG66:AR66" si="44">SUM(AG62:AG65)</f>
        <v>6249.9750000000004</v>
      </c>
      <c r="AH66" s="1076">
        <f t="shared" si="44"/>
        <v>6249.9750000000004</v>
      </c>
      <c r="AI66" s="1076">
        <f t="shared" si="44"/>
        <v>6249.9750000000004</v>
      </c>
      <c r="AJ66" s="1076">
        <f t="shared" si="44"/>
        <v>6249.9750000000004</v>
      </c>
      <c r="AK66" s="1076">
        <f t="shared" si="44"/>
        <v>8749.9750000000004</v>
      </c>
      <c r="AL66" s="1076">
        <f t="shared" si="44"/>
        <v>6249.9750000000004</v>
      </c>
      <c r="AM66" s="1076">
        <f t="shared" si="44"/>
        <v>6249.9750000000004</v>
      </c>
      <c r="AN66" s="1076">
        <f t="shared" si="44"/>
        <v>6249.9750000000004</v>
      </c>
      <c r="AO66" s="1076">
        <f t="shared" si="44"/>
        <v>6249.9750000000004</v>
      </c>
      <c r="AP66" s="1076">
        <f t="shared" si="44"/>
        <v>6249.9750000000004</v>
      </c>
      <c r="AQ66" s="1076">
        <f t="shared" si="44"/>
        <v>6249.9750000000004</v>
      </c>
      <c r="AR66" s="1077">
        <f t="shared" si="44"/>
        <v>6249.9750000000004</v>
      </c>
    </row>
    <row r="67" spans="1:44" ht="12" customHeight="1">
      <c r="A67" s="565"/>
      <c r="B67" s="1086"/>
      <c r="C67" s="1086"/>
      <c r="D67" s="1086"/>
      <c r="E67" s="564"/>
      <c r="F67" s="564"/>
      <c r="G67" s="564"/>
      <c r="H67" s="564"/>
      <c r="I67" s="564"/>
      <c r="J67" s="564"/>
      <c r="K67" s="564"/>
      <c r="L67" s="564"/>
      <c r="M67" s="564"/>
      <c r="N67" s="564"/>
      <c r="O67" s="564"/>
      <c r="P67" s="564"/>
      <c r="Q67" s="563"/>
      <c r="R67" s="1086"/>
      <c r="S67" s="564"/>
      <c r="T67" s="564"/>
      <c r="U67" s="564"/>
      <c r="V67" s="564"/>
      <c r="W67" s="564"/>
      <c r="X67" s="564"/>
      <c r="Y67" s="564"/>
      <c r="Z67" s="564"/>
      <c r="AA67" s="564"/>
      <c r="AB67" s="564"/>
      <c r="AC67" s="564"/>
      <c r="AD67" s="564"/>
      <c r="AF67" s="1086"/>
      <c r="AG67" s="564"/>
      <c r="AH67" s="564"/>
      <c r="AI67" s="564"/>
      <c r="AJ67" s="564"/>
      <c r="AK67" s="564"/>
      <c r="AL67" s="564"/>
      <c r="AM67" s="564"/>
      <c r="AN67" s="564"/>
      <c r="AO67" s="564"/>
      <c r="AP67" s="564"/>
      <c r="AQ67" s="564"/>
      <c r="AR67" s="564"/>
    </row>
    <row r="68" spans="1:44" ht="12" customHeight="1"/>
    <row r="69" spans="1:44" ht="21">
      <c r="A69" s="1087" t="str">
        <f>+A27</f>
        <v>Product 4</v>
      </c>
      <c r="B69" s="1088"/>
      <c r="C69" s="1088"/>
      <c r="D69" s="1089"/>
      <c r="E69" s="673" t="s">
        <v>163</v>
      </c>
      <c r="F69" s="673" t="s">
        <v>164</v>
      </c>
      <c r="G69" s="673" t="s">
        <v>48</v>
      </c>
      <c r="H69" s="673" t="s">
        <v>7</v>
      </c>
      <c r="I69" s="673" t="s">
        <v>49</v>
      </c>
      <c r="J69" s="673" t="s">
        <v>9</v>
      </c>
      <c r="K69" s="673" t="s">
        <v>10</v>
      </c>
      <c r="L69" s="673" t="s">
        <v>11</v>
      </c>
      <c r="M69" s="673" t="s">
        <v>12</v>
      </c>
      <c r="N69" s="673" t="s">
        <v>50</v>
      </c>
      <c r="O69" s="673" t="s">
        <v>2</v>
      </c>
      <c r="P69" s="673" t="s">
        <v>51</v>
      </c>
      <c r="Q69" s="698"/>
      <c r="R69" s="712"/>
      <c r="S69" s="673" t="s">
        <v>163</v>
      </c>
      <c r="T69" s="673" t="s">
        <v>164</v>
      </c>
      <c r="U69" s="673" t="s">
        <v>48</v>
      </c>
      <c r="V69" s="673" t="s">
        <v>7</v>
      </c>
      <c r="W69" s="673" t="s">
        <v>49</v>
      </c>
      <c r="X69" s="673" t="s">
        <v>9</v>
      </c>
      <c r="Y69" s="673" t="s">
        <v>10</v>
      </c>
      <c r="Z69" s="673" t="s">
        <v>11</v>
      </c>
      <c r="AA69" s="673" t="s">
        <v>12</v>
      </c>
      <c r="AB69" s="673" t="s">
        <v>50</v>
      </c>
      <c r="AC69" s="673" t="s">
        <v>2</v>
      </c>
      <c r="AD69" s="673" t="s">
        <v>51</v>
      </c>
      <c r="AF69" s="712"/>
      <c r="AG69" s="673" t="s">
        <v>163</v>
      </c>
      <c r="AH69" s="673" t="s">
        <v>164</v>
      </c>
      <c r="AI69" s="673" t="s">
        <v>48</v>
      </c>
      <c r="AJ69" s="673" t="s">
        <v>7</v>
      </c>
      <c r="AK69" s="673" t="s">
        <v>49</v>
      </c>
      <c r="AL69" s="673" t="s">
        <v>9</v>
      </c>
      <c r="AM69" s="673" t="s">
        <v>10</v>
      </c>
      <c r="AN69" s="673" t="s">
        <v>11</v>
      </c>
      <c r="AO69" s="673" t="s">
        <v>12</v>
      </c>
      <c r="AP69" s="673" t="s">
        <v>50</v>
      </c>
      <c r="AQ69" s="673" t="s">
        <v>2</v>
      </c>
      <c r="AR69" s="673" t="s">
        <v>51</v>
      </c>
    </row>
    <row r="70" spans="1:44">
      <c r="A70" s="689" t="str">
        <f>IF(ISBLANK(+A29),"",A29)</f>
        <v>Test</v>
      </c>
      <c r="B70" s="1082"/>
      <c r="C70" s="1082"/>
      <c r="D70" s="1082"/>
      <c r="E70" s="743">
        <f>+$D29*E29</f>
        <v>0</v>
      </c>
      <c r="F70" s="743">
        <f t="shared" ref="F70:P70" si="45">+$D29*F29</f>
        <v>300</v>
      </c>
      <c r="G70" s="743">
        <f t="shared" si="45"/>
        <v>0</v>
      </c>
      <c r="H70" s="743">
        <f t="shared" si="45"/>
        <v>0</v>
      </c>
      <c r="I70" s="743">
        <f t="shared" si="45"/>
        <v>300</v>
      </c>
      <c r="J70" s="743">
        <f t="shared" si="45"/>
        <v>0</v>
      </c>
      <c r="K70" s="743">
        <f t="shared" si="45"/>
        <v>0</v>
      </c>
      <c r="L70" s="743">
        <f t="shared" si="45"/>
        <v>0</v>
      </c>
      <c r="M70" s="743">
        <f t="shared" si="45"/>
        <v>400</v>
      </c>
      <c r="N70" s="743">
        <f t="shared" si="45"/>
        <v>0</v>
      </c>
      <c r="O70" s="743">
        <f t="shared" si="45"/>
        <v>0</v>
      </c>
      <c r="P70" s="744">
        <f t="shared" si="45"/>
        <v>0</v>
      </c>
      <c r="Q70" s="563"/>
      <c r="R70" s="689"/>
      <c r="S70" s="743">
        <f>+$R29*S29</f>
        <v>0</v>
      </c>
      <c r="T70" s="743">
        <f t="shared" ref="T70:AD70" si="46">+$R29*T29</f>
        <v>300</v>
      </c>
      <c r="U70" s="743">
        <f t="shared" si="46"/>
        <v>0</v>
      </c>
      <c r="V70" s="743">
        <f t="shared" si="46"/>
        <v>0</v>
      </c>
      <c r="W70" s="743">
        <f t="shared" si="46"/>
        <v>300</v>
      </c>
      <c r="X70" s="743">
        <f t="shared" si="46"/>
        <v>0</v>
      </c>
      <c r="Y70" s="743">
        <f t="shared" si="46"/>
        <v>0</v>
      </c>
      <c r="Z70" s="743">
        <f t="shared" si="46"/>
        <v>400</v>
      </c>
      <c r="AA70" s="743">
        <f t="shared" si="46"/>
        <v>0</v>
      </c>
      <c r="AB70" s="743">
        <f t="shared" si="46"/>
        <v>0</v>
      </c>
      <c r="AC70" s="743">
        <f t="shared" si="46"/>
        <v>0</v>
      </c>
      <c r="AD70" s="744">
        <f t="shared" si="46"/>
        <v>0</v>
      </c>
      <c r="AF70" s="689"/>
      <c r="AG70" s="743">
        <f>+$AF29*AG29</f>
        <v>0</v>
      </c>
      <c r="AH70" s="743">
        <f t="shared" ref="AH70:AQ70" si="47">+$AF29*AH29</f>
        <v>300</v>
      </c>
      <c r="AI70" s="743">
        <f t="shared" si="47"/>
        <v>0</v>
      </c>
      <c r="AJ70" s="743">
        <f t="shared" si="47"/>
        <v>0</v>
      </c>
      <c r="AK70" s="743">
        <f t="shared" si="47"/>
        <v>300</v>
      </c>
      <c r="AL70" s="743">
        <f t="shared" si="47"/>
        <v>0</v>
      </c>
      <c r="AM70" s="743">
        <f t="shared" si="47"/>
        <v>0</v>
      </c>
      <c r="AN70" s="743">
        <f t="shared" si="47"/>
        <v>0</v>
      </c>
      <c r="AO70" s="743">
        <f t="shared" si="47"/>
        <v>0</v>
      </c>
      <c r="AP70" s="743">
        <f t="shared" si="47"/>
        <v>400</v>
      </c>
      <c r="AQ70" s="743">
        <f t="shared" si="47"/>
        <v>0</v>
      </c>
      <c r="AR70" s="744">
        <f>+$AF29*AR29</f>
        <v>0</v>
      </c>
    </row>
    <row r="71" spans="1:44">
      <c r="A71" s="690" t="str">
        <f>IF(ISBLANK(+A30),"",A30)</f>
        <v/>
      </c>
      <c r="B71" s="1083"/>
      <c r="C71" s="1083"/>
      <c r="D71" s="1083"/>
      <c r="E71" s="745">
        <f t="shared" ref="E71:P71" si="48">+$D30*E30</f>
        <v>0</v>
      </c>
      <c r="F71" s="745">
        <f t="shared" si="48"/>
        <v>0</v>
      </c>
      <c r="G71" s="745">
        <f t="shared" si="48"/>
        <v>0</v>
      </c>
      <c r="H71" s="745">
        <f t="shared" si="48"/>
        <v>0</v>
      </c>
      <c r="I71" s="745">
        <f t="shared" si="48"/>
        <v>0</v>
      </c>
      <c r="J71" s="745">
        <f t="shared" si="48"/>
        <v>0</v>
      </c>
      <c r="K71" s="745">
        <f t="shared" si="48"/>
        <v>0</v>
      </c>
      <c r="L71" s="745">
        <f t="shared" si="48"/>
        <v>0</v>
      </c>
      <c r="M71" s="745">
        <f t="shared" si="48"/>
        <v>0</v>
      </c>
      <c r="N71" s="745">
        <f t="shared" si="48"/>
        <v>0</v>
      </c>
      <c r="O71" s="745">
        <f t="shared" si="48"/>
        <v>0</v>
      </c>
      <c r="P71" s="745">
        <f t="shared" si="48"/>
        <v>0</v>
      </c>
      <c r="Q71" s="563"/>
      <c r="R71" s="690"/>
      <c r="S71" s="745">
        <f t="shared" ref="S71:AD71" si="49">+$R30*S30</f>
        <v>0</v>
      </c>
      <c r="T71" s="745">
        <f t="shared" si="49"/>
        <v>0</v>
      </c>
      <c r="U71" s="745">
        <f t="shared" si="49"/>
        <v>0</v>
      </c>
      <c r="V71" s="745">
        <f t="shared" si="49"/>
        <v>0</v>
      </c>
      <c r="W71" s="745">
        <f t="shared" si="49"/>
        <v>0</v>
      </c>
      <c r="X71" s="745">
        <f t="shared" si="49"/>
        <v>0</v>
      </c>
      <c r="Y71" s="745">
        <f t="shared" si="49"/>
        <v>0</v>
      </c>
      <c r="Z71" s="745">
        <f t="shared" si="49"/>
        <v>0</v>
      </c>
      <c r="AA71" s="745">
        <f t="shared" si="49"/>
        <v>0</v>
      </c>
      <c r="AB71" s="745">
        <f t="shared" si="49"/>
        <v>0</v>
      </c>
      <c r="AC71" s="745">
        <f t="shared" si="49"/>
        <v>0</v>
      </c>
      <c r="AD71" s="746">
        <f t="shared" si="49"/>
        <v>0</v>
      </c>
      <c r="AF71" s="690"/>
      <c r="AG71" s="745">
        <f t="shared" ref="AG71:AR71" si="50">+$AF30*AG30</f>
        <v>0</v>
      </c>
      <c r="AH71" s="745">
        <f t="shared" si="50"/>
        <v>0</v>
      </c>
      <c r="AI71" s="745">
        <f t="shared" si="50"/>
        <v>0</v>
      </c>
      <c r="AJ71" s="745">
        <f t="shared" si="50"/>
        <v>0</v>
      </c>
      <c r="AK71" s="745">
        <f t="shared" si="50"/>
        <v>0</v>
      </c>
      <c r="AL71" s="745">
        <f t="shared" si="50"/>
        <v>0</v>
      </c>
      <c r="AM71" s="745">
        <f t="shared" si="50"/>
        <v>800</v>
      </c>
      <c r="AN71" s="745">
        <f t="shared" si="50"/>
        <v>200</v>
      </c>
      <c r="AO71" s="745">
        <f t="shared" si="50"/>
        <v>0</v>
      </c>
      <c r="AP71" s="745">
        <f t="shared" si="50"/>
        <v>0</v>
      </c>
      <c r="AQ71" s="745">
        <f t="shared" si="50"/>
        <v>0</v>
      </c>
      <c r="AR71" s="746">
        <f t="shared" si="50"/>
        <v>0</v>
      </c>
    </row>
    <row r="72" spans="1:44">
      <c r="A72" s="690" t="str">
        <f>IF(ISBLANK(+A31),"",A31)</f>
        <v/>
      </c>
      <c r="B72" s="1083"/>
      <c r="C72" s="1083"/>
      <c r="D72" s="1083"/>
      <c r="E72" s="745">
        <f t="shared" ref="E72:P72" si="51">+$D31*E31</f>
        <v>0</v>
      </c>
      <c r="F72" s="745">
        <f t="shared" si="51"/>
        <v>0</v>
      </c>
      <c r="G72" s="745">
        <f t="shared" si="51"/>
        <v>0</v>
      </c>
      <c r="H72" s="745">
        <f t="shared" si="51"/>
        <v>0</v>
      </c>
      <c r="I72" s="745">
        <f t="shared" si="51"/>
        <v>0</v>
      </c>
      <c r="J72" s="745">
        <f t="shared" si="51"/>
        <v>0</v>
      </c>
      <c r="K72" s="745">
        <f t="shared" si="51"/>
        <v>0</v>
      </c>
      <c r="L72" s="745">
        <f t="shared" si="51"/>
        <v>0</v>
      </c>
      <c r="M72" s="745">
        <f t="shared" si="51"/>
        <v>0</v>
      </c>
      <c r="N72" s="745">
        <f t="shared" si="51"/>
        <v>0</v>
      </c>
      <c r="O72" s="745">
        <f t="shared" si="51"/>
        <v>0</v>
      </c>
      <c r="P72" s="745">
        <f t="shared" si="51"/>
        <v>0</v>
      </c>
      <c r="Q72" s="563"/>
      <c r="R72" s="690"/>
      <c r="S72" s="745">
        <f t="shared" ref="S72:AD72" si="52">+$R31*S31</f>
        <v>0</v>
      </c>
      <c r="T72" s="745">
        <f t="shared" si="52"/>
        <v>0</v>
      </c>
      <c r="U72" s="745">
        <f t="shared" si="52"/>
        <v>300</v>
      </c>
      <c r="V72" s="745">
        <f t="shared" si="52"/>
        <v>300</v>
      </c>
      <c r="W72" s="745">
        <f t="shared" si="52"/>
        <v>400</v>
      </c>
      <c r="X72" s="745">
        <f t="shared" si="52"/>
        <v>0</v>
      </c>
      <c r="Y72" s="745">
        <f t="shared" si="52"/>
        <v>0</v>
      </c>
      <c r="Z72" s="745">
        <f t="shared" si="52"/>
        <v>0</v>
      </c>
      <c r="AA72" s="745">
        <f t="shared" si="52"/>
        <v>0</v>
      </c>
      <c r="AB72" s="745">
        <f t="shared" si="52"/>
        <v>0</v>
      </c>
      <c r="AC72" s="745">
        <f t="shared" si="52"/>
        <v>0</v>
      </c>
      <c r="AD72" s="746">
        <f t="shared" si="52"/>
        <v>0</v>
      </c>
      <c r="AF72" s="690"/>
      <c r="AG72" s="745">
        <f t="shared" ref="AG72:AR72" si="53">+$AF31*AG31</f>
        <v>0</v>
      </c>
      <c r="AH72" s="745">
        <f t="shared" si="53"/>
        <v>0</v>
      </c>
      <c r="AI72" s="745">
        <f t="shared" si="53"/>
        <v>0</v>
      </c>
      <c r="AJ72" s="745">
        <f t="shared" si="53"/>
        <v>0</v>
      </c>
      <c r="AK72" s="745">
        <f t="shared" si="53"/>
        <v>0</v>
      </c>
      <c r="AL72" s="745">
        <f t="shared" si="53"/>
        <v>0</v>
      </c>
      <c r="AM72" s="745">
        <f t="shared" si="53"/>
        <v>0</v>
      </c>
      <c r="AN72" s="745">
        <f t="shared" si="53"/>
        <v>0</v>
      </c>
      <c r="AO72" s="745">
        <f t="shared" si="53"/>
        <v>0</v>
      </c>
      <c r="AP72" s="745">
        <f t="shared" si="53"/>
        <v>0</v>
      </c>
      <c r="AQ72" s="745">
        <f t="shared" si="53"/>
        <v>0</v>
      </c>
      <c r="AR72" s="746">
        <f t="shared" si="53"/>
        <v>0</v>
      </c>
    </row>
    <row r="73" spans="1:44">
      <c r="A73" s="691" t="str">
        <f>IF(ISBLANK(+A32),"",A32)</f>
        <v/>
      </c>
      <c r="B73" s="1084"/>
      <c r="C73" s="1084"/>
      <c r="D73" s="1084"/>
      <c r="E73" s="747">
        <f t="shared" ref="E73:P73" si="54">+$D32*E32</f>
        <v>0</v>
      </c>
      <c r="F73" s="747">
        <f t="shared" si="54"/>
        <v>0</v>
      </c>
      <c r="G73" s="747">
        <f t="shared" si="54"/>
        <v>0</v>
      </c>
      <c r="H73" s="747">
        <f t="shared" si="54"/>
        <v>0</v>
      </c>
      <c r="I73" s="747">
        <f t="shared" si="54"/>
        <v>0</v>
      </c>
      <c r="J73" s="747">
        <f t="shared" si="54"/>
        <v>0</v>
      </c>
      <c r="K73" s="747">
        <f t="shared" si="54"/>
        <v>0</v>
      </c>
      <c r="L73" s="747">
        <f t="shared" si="54"/>
        <v>0</v>
      </c>
      <c r="M73" s="747">
        <f t="shared" si="54"/>
        <v>0</v>
      </c>
      <c r="N73" s="747">
        <f t="shared" si="54"/>
        <v>0</v>
      </c>
      <c r="O73" s="747">
        <f t="shared" si="54"/>
        <v>0</v>
      </c>
      <c r="P73" s="747">
        <f t="shared" si="54"/>
        <v>0</v>
      </c>
      <c r="Q73" s="563"/>
      <c r="R73" s="691"/>
      <c r="S73" s="747">
        <f t="shared" ref="S73:AD73" si="55">+$R32*S32</f>
        <v>0</v>
      </c>
      <c r="T73" s="747">
        <f t="shared" si="55"/>
        <v>0</v>
      </c>
      <c r="U73" s="747">
        <f t="shared" si="55"/>
        <v>0</v>
      </c>
      <c r="V73" s="747">
        <f t="shared" si="55"/>
        <v>0</v>
      </c>
      <c r="W73" s="747">
        <f t="shared" si="55"/>
        <v>0</v>
      </c>
      <c r="X73" s="747">
        <f t="shared" si="55"/>
        <v>0</v>
      </c>
      <c r="Y73" s="747">
        <f t="shared" si="55"/>
        <v>0</v>
      </c>
      <c r="Z73" s="747">
        <f t="shared" si="55"/>
        <v>0</v>
      </c>
      <c r="AA73" s="747">
        <f t="shared" si="55"/>
        <v>0</v>
      </c>
      <c r="AB73" s="747">
        <f t="shared" si="55"/>
        <v>0</v>
      </c>
      <c r="AC73" s="747">
        <f t="shared" si="55"/>
        <v>0</v>
      </c>
      <c r="AD73" s="748">
        <f t="shared" si="55"/>
        <v>0</v>
      </c>
      <c r="AF73" s="691"/>
      <c r="AG73" s="747">
        <f t="shared" ref="AG73:AR73" si="56">+$AF32*AG32</f>
        <v>0</v>
      </c>
      <c r="AH73" s="747">
        <f t="shared" si="56"/>
        <v>0</v>
      </c>
      <c r="AI73" s="747">
        <f t="shared" si="56"/>
        <v>0</v>
      </c>
      <c r="AJ73" s="747">
        <f t="shared" si="56"/>
        <v>0</v>
      </c>
      <c r="AK73" s="747">
        <f t="shared" si="56"/>
        <v>0</v>
      </c>
      <c r="AL73" s="747">
        <f t="shared" si="56"/>
        <v>0</v>
      </c>
      <c r="AM73" s="747">
        <f t="shared" si="56"/>
        <v>0</v>
      </c>
      <c r="AN73" s="747">
        <f t="shared" si="56"/>
        <v>0</v>
      </c>
      <c r="AO73" s="747">
        <f t="shared" si="56"/>
        <v>0</v>
      </c>
      <c r="AP73" s="747">
        <f t="shared" si="56"/>
        <v>0</v>
      </c>
      <c r="AQ73" s="747">
        <f t="shared" si="56"/>
        <v>0</v>
      </c>
      <c r="AR73" s="748">
        <f t="shared" si="56"/>
        <v>0</v>
      </c>
    </row>
    <row r="74" spans="1:44" ht="16">
      <c r="A74" s="1075" t="str">
        <f>"Total Net  Revenue "&amp;A69</f>
        <v>Total Net  Revenue Product 4</v>
      </c>
      <c r="B74" s="1090"/>
      <c r="C74" s="1090"/>
      <c r="D74" s="1090"/>
      <c r="E74" s="1076">
        <f t="shared" ref="E74:P74" si="57">SUM(E70:E73)</f>
        <v>0</v>
      </c>
      <c r="F74" s="1076">
        <f t="shared" si="57"/>
        <v>300</v>
      </c>
      <c r="G74" s="1076">
        <f t="shared" si="57"/>
        <v>0</v>
      </c>
      <c r="H74" s="1076">
        <f t="shared" si="57"/>
        <v>0</v>
      </c>
      <c r="I74" s="1076">
        <f t="shared" si="57"/>
        <v>300</v>
      </c>
      <c r="J74" s="1076">
        <f t="shared" si="57"/>
        <v>0</v>
      </c>
      <c r="K74" s="1076">
        <f t="shared" si="57"/>
        <v>0</v>
      </c>
      <c r="L74" s="1076">
        <f t="shared" si="57"/>
        <v>0</v>
      </c>
      <c r="M74" s="1076">
        <f t="shared" si="57"/>
        <v>400</v>
      </c>
      <c r="N74" s="1076">
        <f t="shared" si="57"/>
        <v>0</v>
      </c>
      <c r="O74" s="1076">
        <f t="shared" si="57"/>
        <v>0</v>
      </c>
      <c r="P74" s="1077">
        <f t="shared" si="57"/>
        <v>0</v>
      </c>
      <c r="Q74" s="563"/>
      <c r="R74" s="1075"/>
      <c r="S74" s="1076">
        <f t="shared" ref="S74:AD74" si="58">SUM(S70:S73)</f>
        <v>0</v>
      </c>
      <c r="T74" s="1076">
        <f t="shared" si="58"/>
        <v>300</v>
      </c>
      <c r="U74" s="1076">
        <f t="shared" si="58"/>
        <v>300</v>
      </c>
      <c r="V74" s="1076">
        <f t="shared" si="58"/>
        <v>300</v>
      </c>
      <c r="W74" s="1076">
        <f t="shared" si="58"/>
        <v>700</v>
      </c>
      <c r="X74" s="1076">
        <f t="shared" si="58"/>
        <v>0</v>
      </c>
      <c r="Y74" s="1076">
        <f t="shared" si="58"/>
        <v>0</v>
      </c>
      <c r="Z74" s="1076">
        <f t="shared" si="58"/>
        <v>400</v>
      </c>
      <c r="AA74" s="1076">
        <f t="shared" si="58"/>
        <v>0</v>
      </c>
      <c r="AB74" s="1076">
        <f t="shared" si="58"/>
        <v>0</v>
      </c>
      <c r="AC74" s="1076">
        <f t="shared" si="58"/>
        <v>0</v>
      </c>
      <c r="AD74" s="1077">
        <f t="shared" si="58"/>
        <v>0</v>
      </c>
      <c r="AF74" s="1075"/>
      <c r="AG74" s="1076">
        <f t="shared" ref="AG74:AR74" si="59">SUM(AG70:AG73)</f>
        <v>0</v>
      </c>
      <c r="AH74" s="1076">
        <f t="shared" si="59"/>
        <v>300</v>
      </c>
      <c r="AI74" s="1076">
        <f t="shared" si="59"/>
        <v>0</v>
      </c>
      <c r="AJ74" s="1076">
        <f t="shared" si="59"/>
        <v>0</v>
      </c>
      <c r="AK74" s="1076">
        <f t="shared" si="59"/>
        <v>300</v>
      </c>
      <c r="AL74" s="1076">
        <f t="shared" si="59"/>
        <v>0</v>
      </c>
      <c r="AM74" s="1076">
        <f t="shared" si="59"/>
        <v>800</v>
      </c>
      <c r="AN74" s="1076">
        <f t="shared" si="59"/>
        <v>200</v>
      </c>
      <c r="AO74" s="1076">
        <f t="shared" si="59"/>
        <v>0</v>
      </c>
      <c r="AP74" s="1076">
        <f t="shared" si="59"/>
        <v>400</v>
      </c>
      <c r="AQ74" s="1076">
        <f t="shared" si="59"/>
        <v>0</v>
      </c>
      <c r="AR74" s="1077">
        <f t="shared" si="59"/>
        <v>0</v>
      </c>
    </row>
    <row r="75" spans="1:44" ht="12" customHeight="1"/>
    <row r="76" spans="1:44" ht="14" customHeight="1">
      <c r="A76" s="565"/>
      <c r="B76" s="1086"/>
      <c r="C76" s="1086"/>
      <c r="D76" s="1086"/>
      <c r="E76" s="564"/>
      <c r="F76" s="564"/>
      <c r="G76" s="564"/>
      <c r="H76" s="564"/>
      <c r="I76" s="564"/>
      <c r="J76" s="564"/>
      <c r="K76" s="564"/>
      <c r="L76" s="564"/>
      <c r="M76" s="564"/>
      <c r="N76" s="564"/>
      <c r="O76" s="564"/>
      <c r="P76" s="564"/>
      <c r="Q76" s="563"/>
      <c r="R76" s="1086"/>
      <c r="S76" s="564"/>
      <c r="T76" s="564"/>
      <c r="U76" s="564"/>
      <c r="V76" s="564"/>
      <c r="W76" s="564"/>
      <c r="X76" s="564"/>
      <c r="Y76" s="564"/>
      <c r="Z76" s="564"/>
      <c r="AA76" s="564"/>
      <c r="AB76" s="564"/>
      <c r="AC76" s="564"/>
      <c r="AD76" s="564"/>
      <c r="AF76" s="1086"/>
      <c r="AG76" s="564"/>
      <c r="AH76" s="564"/>
      <c r="AI76" s="564"/>
      <c r="AJ76" s="564"/>
      <c r="AK76" s="564"/>
      <c r="AL76" s="564"/>
      <c r="AM76" s="564"/>
      <c r="AN76" s="564"/>
      <c r="AO76" s="564"/>
      <c r="AP76" s="564"/>
      <c r="AQ76" s="564"/>
      <c r="AR76" s="564"/>
    </row>
    <row r="77" spans="1:44" ht="21">
      <c r="A77" s="1087" t="str">
        <f>+A35</f>
        <v>Product 5</v>
      </c>
      <c r="B77" s="1088"/>
      <c r="C77" s="1088"/>
      <c r="D77" s="1089"/>
      <c r="E77" s="673" t="s">
        <v>163</v>
      </c>
      <c r="F77" s="673" t="s">
        <v>164</v>
      </c>
      <c r="G77" s="673" t="s">
        <v>48</v>
      </c>
      <c r="H77" s="673" t="s">
        <v>7</v>
      </c>
      <c r="I77" s="673" t="s">
        <v>49</v>
      </c>
      <c r="J77" s="673" t="s">
        <v>9</v>
      </c>
      <c r="K77" s="673" t="s">
        <v>10</v>
      </c>
      <c r="L77" s="673" t="s">
        <v>11</v>
      </c>
      <c r="M77" s="673" t="s">
        <v>12</v>
      </c>
      <c r="N77" s="673" t="s">
        <v>50</v>
      </c>
      <c r="O77" s="673" t="s">
        <v>2</v>
      </c>
      <c r="P77" s="673" t="s">
        <v>51</v>
      </c>
      <c r="Q77" s="698"/>
      <c r="R77" s="712"/>
      <c r="S77" s="673" t="s">
        <v>163</v>
      </c>
      <c r="T77" s="673" t="s">
        <v>164</v>
      </c>
      <c r="U77" s="673" t="s">
        <v>48</v>
      </c>
      <c r="V77" s="673" t="s">
        <v>7</v>
      </c>
      <c r="W77" s="673" t="s">
        <v>49</v>
      </c>
      <c r="X77" s="673" t="s">
        <v>9</v>
      </c>
      <c r="Y77" s="673" t="s">
        <v>10</v>
      </c>
      <c r="Z77" s="673" t="s">
        <v>11</v>
      </c>
      <c r="AA77" s="673" t="s">
        <v>12</v>
      </c>
      <c r="AB77" s="673" t="s">
        <v>50</v>
      </c>
      <c r="AC77" s="673" t="s">
        <v>2</v>
      </c>
      <c r="AD77" s="673" t="s">
        <v>51</v>
      </c>
      <c r="AF77" s="712"/>
      <c r="AG77" s="673" t="s">
        <v>163</v>
      </c>
      <c r="AH77" s="673" t="s">
        <v>164</v>
      </c>
      <c r="AI77" s="673" t="s">
        <v>48</v>
      </c>
      <c r="AJ77" s="673" t="s">
        <v>7</v>
      </c>
      <c r="AK77" s="673" t="s">
        <v>49</v>
      </c>
      <c r="AL77" s="673" t="s">
        <v>9</v>
      </c>
      <c r="AM77" s="673" t="s">
        <v>10</v>
      </c>
      <c r="AN77" s="673" t="s">
        <v>11</v>
      </c>
      <c r="AO77" s="673" t="s">
        <v>12</v>
      </c>
      <c r="AP77" s="673" t="s">
        <v>50</v>
      </c>
      <c r="AQ77" s="673" t="s">
        <v>2</v>
      </c>
      <c r="AR77" s="673" t="s">
        <v>51</v>
      </c>
    </row>
    <row r="78" spans="1:44">
      <c r="A78" s="689" t="str">
        <f>IF(ISBLANK(+A37),"",A37)</f>
        <v>Test</v>
      </c>
      <c r="B78" s="1082"/>
      <c r="C78" s="1082"/>
      <c r="D78" s="1082"/>
      <c r="E78" s="743">
        <f>+$D37*E37</f>
        <v>0</v>
      </c>
      <c r="F78" s="743">
        <f t="shared" ref="F78:P78" si="60">+$D37*F37</f>
        <v>0</v>
      </c>
      <c r="G78" s="743">
        <f t="shared" si="60"/>
        <v>500</v>
      </c>
      <c r="H78" s="743">
        <f t="shared" si="60"/>
        <v>0</v>
      </c>
      <c r="I78" s="743">
        <f t="shared" si="60"/>
        <v>0</v>
      </c>
      <c r="J78" s="743">
        <f t="shared" si="60"/>
        <v>0</v>
      </c>
      <c r="K78" s="743">
        <f t="shared" si="60"/>
        <v>0</v>
      </c>
      <c r="L78" s="743">
        <f t="shared" si="60"/>
        <v>0</v>
      </c>
      <c r="M78" s="743">
        <f t="shared" si="60"/>
        <v>0</v>
      </c>
      <c r="N78" s="743">
        <f t="shared" si="60"/>
        <v>500</v>
      </c>
      <c r="O78" s="743">
        <f t="shared" si="60"/>
        <v>0</v>
      </c>
      <c r="P78" s="744">
        <f t="shared" si="60"/>
        <v>0</v>
      </c>
      <c r="Q78" s="563"/>
      <c r="R78" s="689"/>
      <c r="S78" s="743">
        <f>+$R37*S37</f>
        <v>500</v>
      </c>
      <c r="T78" s="743">
        <f t="shared" ref="T78:AD78" si="61">+$R37*T37</f>
        <v>0</v>
      </c>
      <c r="U78" s="743">
        <f t="shared" si="61"/>
        <v>0</v>
      </c>
      <c r="V78" s="743">
        <f t="shared" si="61"/>
        <v>0</v>
      </c>
      <c r="W78" s="743">
        <f t="shared" si="61"/>
        <v>0</v>
      </c>
      <c r="X78" s="743">
        <f t="shared" si="61"/>
        <v>0</v>
      </c>
      <c r="Y78" s="743">
        <f t="shared" si="61"/>
        <v>0</v>
      </c>
      <c r="Z78" s="743">
        <f t="shared" si="61"/>
        <v>0</v>
      </c>
      <c r="AA78" s="743">
        <f t="shared" si="61"/>
        <v>500</v>
      </c>
      <c r="AB78" s="743">
        <f t="shared" si="61"/>
        <v>0</v>
      </c>
      <c r="AC78" s="743">
        <f t="shared" si="61"/>
        <v>0</v>
      </c>
      <c r="AD78" s="744">
        <f t="shared" si="61"/>
        <v>0</v>
      </c>
      <c r="AF78" s="689"/>
      <c r="AG78" s="743">
        <f>+$AF37*AG37</f>
        <v>0</v>
      </c>
      <c r="AH78" s="743">
        <f t="shared" ref="AH78:AR78" si="62">+$AF37*AH37</f>
        <v>0</v>
      </c>
      <c r="AI78" s="743">
        <f t="shared" si="62"/>
        <v>0</v>
      </c>
      <c r="AJ78" s="743">
        <f t="shared" si="62"/>
        <v>500</v>
      </c>
      <c r="AK78" s="743">
        <f t="shared" si="62"/>
        <v>0</v>
      </c>
      <c r="AL78" s="743">
        <f t="shared" si="62"/>
        <v>0</v>
      </c>
      <c r="AM78" s="743">
        <f t="shared" si="62"/>
        <v>0</v>
      </c>
      <c r="AN78" s="743">
        <f t="shared" si="62"/>
        <v>0</v>
      </c>
      <c r="AO78" s="743">
        <f t="shared" si="62"/>
        <v>0</v>
      </c>
      <c r="AP78" s="743">
        <f t="shared" si="62"/>
        <v>0</v>
      </c>
      <c r="AQ78" s="743">
        <f t="shared" si="62"/>
        <v>0</v>
      </c>
      <c r="AR78" s="744">
        <f t="shared" si="62"/>
        <v>500</v>
      </c>
    </row>
    <row r="79" spans="1:44">
      <c r="A79" s="690" t="str">
        <f>IF(ISBLANK(+A38),"",A38)</f>
        <v/>
      </c>
      <c r="B79" s="1083"/>
      <c r="C79" s="1083"/>
      <c r="D79" s="1083"/>
      <c r="E79" s="745">
        <f t="shared" ref="E79:P79" si="63">+$D38*E38</f>
        <v>0</v>
      </c>
      <c r="F79" s="745">
        <f t="shared" si="63"/>
        <v>0</v>
      </c>
      <c r="G79" s="745">
        <f t="shared" si="63"/>
        <v>0</v>
      </c>
      <c r="H79" s="745">
        <f t="shared" si="63"/>
        <v>0</v>
      </c>
      <c r="I79" s="745">
        <f t="shared" si="63"/>
        <v>0</v>
      </c>
      <c r="J79" s="745">
        <f t="shared" si="63"/>
        <v>0</v>
      </c>
      <c r="K79" s="745">
        <f t="shared" si="63"/>
        <v>0</v>
      </c>
      <c r="L79" s="745">
        <f t="shared" si="63"/>
        <v>0</v>
      </c>
      <c r="M79" s="745">
        <f t="shared" si="63"/>
        <v>0</v>
      </c>
      <c r="N79" s="745">
        <f t="shared" si="63"/>
        <v>0</v>
      </c>
      <c r="O79" s="745">
        <f t="shared" si="63"/>
        <v>0</v>
      </c>
      <c r="P79" s="745">
        <f t="shared" si="63"/>
        <v>0</v>
      </c>
      <c r="Q79" s="563"/>
      <c r="R79" s="690"/>
      <c r="S79" s="745">
        <f t="shared" ref="S79:AD79" si="64">+$R38*S38</f>
        <v>0</v>
      </c>
      <c r="T79" s="745">
        <f t="shared" si="64"/>
        <v>0</v>
      </c>
      <c r="U79" s="745">
        <f t="shared" si="64"/>
        <v>0</v>
      </c>
      <c r="V79" s="745">
        <f t="shared" si="64"/>
        <v>0</v>
      </c>
      <c r="W79" s="745">
        <f t="shared" si="64"/>
        <v>0</v>
      </c>
      <c r="X79" s="745">
        <f t="shared" si="64"/>
        <v>0</v>
      </c>
      <c r="Y79" s="745">
        <f t="shared" si="64"/>
        <v>0</v>
      </c>
      <c r="Z79" s="745">
        <f t="shared" si="64"/>
        <v>0</v>
      </c>
      <c r="AA79" s="745">
        <f t="shared" si="64"/>
        <v>0</v>
      </c>
      <c r="AB79" s="745">
        <f t="shared" si="64"/>
        <v>0</v>
      </c>
      <c r="AC79" s="745">
        <f t="shared" si="64"/>
        <v>0</v>
      </c>
      <c r="AD79" s="746">
        <f t="shared" si="64"/>
        <v>0</v>
      </c>
      <c r="AF79" s="690"/>
      <c r="AG79" s="745">
        <f t="shared" ref="AG79:AR79" si="65">+$AF38*AG38</f>
        <v>0</v>
      </c>
      <c r="AH79" s="745">
        <f t="shared" si="65"/>
        <v>0</v>
      </c>
      <c r="AI79" s="745">
        <f t="shared" si="65"/>
        <v>0</v>
      </c>
      <c r="AJ79" s="745">
        <f t="shared" si="65"/>
        <v>0</v>
      </c>
      <c r="AK79" s="745">
        <f t="shared" si="65"/>
        <v>0</v>
      </c>
      <c r="AL79" s="745">
        <f t="shared" si="65"/>
        <v>0</v>
      </c>
      <c r="AM79" s="745">
        <f t="shared" si="65"/>
        <v>0</v>
      </c>
      <c r="AN79" s="745">
        <f t="shared" si="65"/>
        <v>0</v>
      </c>
      <c r="AO79" s="745">
        <f t="shared" si="65"/>
        <v>0</v>
      </c>
      <c r="AP79" s="745">
        <f t="shared" si="65"/>
        <v>0</v>
      </c>
      <c r="AQ79" s="745">
        <f t="shared" si="65"/>
        <v>0</v>
      </c>
      <c r="AR79" s="746">
        <f t="shared" si="65"/>
        <v>0</v>
      </c>
    </row>
    <row r="80" spans="1:44">
      <c r="A80" s="690" t="str">
        <f>IF(ISBLANK(+A39),"",A39)</f>
        <v/>
      </c>
      <c r="B80" s="1083"/>
      <c r="C80" s="1083"/>
      <c r="D80" s="1083"/>
      <c r="E80" s="745">
        <f t="shared" ref="E80:P80" si="66">+$D39*E39</f>
        <v>0</v>
      </c>
      <c r="F80" s="745">
        <f t="shared" si="66"/>
        <v>0</v>
      </c>
      <c r="G80" s="745">
        <f t="shared" si="66"/>
        <v>0</v>
      </c>
      <c r="H80" s="745">
        <f t="shared" si="66"/>
        <v>0</v>
      </c>
      <c r="I80" s="745">
        <f t="shared" si="66"/>
        <v>0</v>
      </c>
      <c r="J80" s="745">
        <f t="shared" si="66"/>
        <v>0</v>
      </c>
      <c r="K80" s="745">
        <f t="shared" si="66"/>
        <v>0</v>
      </c>
      <c r="L80" s="745">
        <f t="shared" si="66"/>
        <v>0</v>
      </c>
      <c r="M80" s="745">
        <f t="shared" si="66"/>
        <v>0</v>
      </c>
      <c r="N80" s="745">
        <f t="shared" si="66"/>
        <v>0</v>
      </c>
      <c r="O80" s="745">
        <f t="shared" si="66"/>
        <v>0</v>
      </c>
      <c r="P80" s="745">
        <f t="shared" si="66"/>
        <v>0</v>
      </c>
      <c r="Q80" s="563"/>
      <c r="R80" s="690"/>
      <c r="S80" s="745">
        <f t="shared" ref="S80:AD80" si="67">+$R39*S39</f>
        <v>0</v>
      </c>
      <c r="T80" s="745">
        <f t="shared" si="67"/>
        <v>0</v>
      </c>
      <c r="U80" s="745">
        <f t="shared" si="67"/>
        <v>50</v>
      </c>
      <c r="V80" s="745">
        <f t="shared" si="67"/>
        <v>50</v>
      </c>
      <c r="W80" s="745">
        <f t="shared" si="67"/>
        <v>0</v>
      </c>
      <c r="X80" s="745">
        <f t="shared" si="67"/>
        <v>0</v>
      </c>
      <c r="Y80" s="745">
        <f t="shared" si="67"/>
        <v>0</v>
      </c>
      <c r="Z80" s="745">
        <f t="shared" si="67"/>
        <v>0</v>
      </c>
      <c r="AA80" s="745">
        <f t="shared" si="67"/>
        <v>0</v>
      </c>
      <c r="AB80" s="745">
        <f t="shared" si="67"/>
        <v>0</v>
      </c>
      <c r="AC80" s="745">
        <f t="shared" si="67"/>
        <v>0</v>
      </c>
      <c r="AD80" s="746">
        <f t="shared" si="67"/>
        <v>0</v>
      </c>
      <c r="AF80" s="690"/>
      <c r="AG80" s="745">
        <f t="shared" ref="AG80:AR80" si="68">+$AF39*AG39</f>
        <v>0</v>
      </c>
      <c r="AH80" s="745">
        <f t="shared" si="68"/>
        <v>0</v>
      </c>
      <c r="AI80" s="745">
        <f t="shared" si="68"/>
        <v>0</v>
      </c>
      <c r="AJ80" s="745">
        <f t="shared" si="68"/>
        <v>0</v>
      </c>
      <c r="AK80" s="745">
        <f t="shared" si="68"/>
        <v>100</v>
      </c>
      <c r="AL80" s="745">
        <f t="shared" si="68"/>
        <v>100</v>
      </c>
      <c r="AM80" s="745">
        <f t="shared" si="68"/>
        <v>100</v>
      </c>
      <c r="AN80" s="745">
        <f t="shared" si="68"/>
        <v>200</v>
      </c>
      <c r="AO80" s="745">
        <f t="shared" si="68"/>
        <v>0</v>
      </c>
      <c r="AP80" s="745">
        <f t="shared" si="68"/>
        <v>0</v>
      </c>
      <c r="AQ80" s="745">
        <f t="shared" si="68"/>
        <v>0</v>
      </c>
      <c r="AR80" s="746">
        <f t="shared" si="68"/>
        <v>0</v>
      </c>
    </row>
    <row r="81" spans="1:44">
      <c r="A81" s="691" t="str">
        <f>IF(ISBLANK(+A40),"",A40)</f>
        <v/>
      </c>
      <c r="B81" s="1084"/>
      <c r="C81" s="1084"/>
      <c r="D81" s="1084"/>
      <c r="E81" s="747">
        <f t="shared" ref="E81:P81" si="69">+$D40*E40</f>
        <v>0</v>
      </c>
      <c r="F81" s="747">
        <f t="shared" si="69"/>
        <v>0</v>
      </c>
      <c r="G81" s="747">
        <f t="shared" si="69"/>
        <v>0</v>
      </c>
      <c r="H81" s="747">
        <f t="shared" si="69"/>
        <v>0</v>
      </c>
      <c r="I81" s="747">
        <f t="shared" si="69"/>
        <v>0</v>
      </c>
      <c r="J81" s="747">
        <f t="shared" si="69"/>
        <v>0</v>
      </c>
      <c r="K81" s="747">
        <f t="shared" si="69"/>
        <v>0</v>
      </c>
      <c r="L81" s="747">
        <f t="shared" si="69"/>
        <v>0</v>
      </c>
      <c r="M81" s="747">
        <f t="shared" si="69"/>
        <v>0</v>
      </c>
      <c r="N81" s="747">
        <f t="shared" si="69"/>
        <v>0</v>
      </c>
      <c r="O81" s="747">
        <f t="shared" si="69"/>
        <v>0</v>
      </c>
      <c r="P81" s="747">
        <f t="shared" si="69"/>
        <v>0</v>
      </c>
      <c r="Q81" s="563"/>
      <c r="R81" s="691"/>
      <c r="S81" s="747">
        <f t="shared" ref="S81:AD81" si="70">+$R40*S40</f>
        <v>0</v>
      </c>
      <c r="T81" s="747">
        <f t="shared" si="70"/>
        <v>0</v>
      </c>
      <c r="U81" s="747">
        <f t="shared" si="70"/>
        <v>0</v>
      </c>
      <c r="V81" s="747">
        <f t="shared" si="70"/>
        <v>0</v>
      </c>
      <c r="W81" s="747">
        <f t="shared" si="70"/>
        <v>0</v>
      </c>
      <c r="X81" s="747">
        <f t="shared" si="70"/>
        <v>0</v>
      </c>
      <c r="Y81" s="747">
        <f t="shared" si="70"/>
        <v>0</v>
      </c>
      <c r="Z81" s="747">
        <f t="shared" si="70"/>
        <v>0</v>
      </c>
      <c r="AA81" s="747">
        <f t="shared" si="70"/>
        <v>0</v>
      </c>
      <c r="AB81" s="747">
        <f t="shared" si="70"/>
        <v>0</v>
      </c>
      <c r="AC81" s="747">
        <f t="shared" si="70"/>
        <v>0</v>
      </c>
      <c r="AD81" s="748">
        <f t="shared" si="70"/>
        <v>0</v>
      </c>
      <c r="AF81" s="691"/>
      <c r="AG81" s="747">
        <f t="shared" ref="AG81:AR81" si="71">+$AF40*AG40</f>
        <v>0</v>
      </c>
      <c r="AH81" s="747">
        <f t="shared" si="71"/>
        <v>0</v>
      </c>
      <c r="AI81" s="747">
        <f t="shared" si="71"/>
        <v>0</v>
      </c>
      <c r="AJ81" s="747">
        <f t="shared" si="71"/>
        <v>0</v>
      </c>
      <c r="AK81" s="747">
        <f t="shared" si="71"/>
        <v>0</v>
      </c>
      <c r="AL81" s="747">
        <f t="shared" si="71"/>
        <v>0</v>
      </c>
      <c r="AM81" s="747">
        <f t="shared" si="71"/>
        <v>0</v>
      </c>
      <c r="AN81" s="747">
        <f t="shared" si="71"/>
        <v>0</v>
      </c>
      <c r="AO81" s="747">
        <f t="shared" si="71"/>
        <v>0</v>
      </c>
      <c r="AP81" s="747">
        <f t="shared" si="71"/>
        <v>0</v>
      </c>
      <c r="AQ81" s="747">
        <f t="shared" si="71"/>
        <v>0</v>
      </c>
      <c r="AR81" s="748">
        <f t="shared" si="71"/>
        <v>0</v>
      </c>
    </row>
    <row r="82" spans="1:44" ht="16">
      <c r="A82" s="1075" t="str">
        <f>"Total Net  Revenue "&amp;A77</f>
        <v>Total Net  Revenue Product 5</v>
      </c>
      <c r="B82" s="1090"/>
      <c r="C82" s="1090"/>
      <c r="D82" s="1090"/>
      <c r="E82" s="1076">
        <f t="shared" ref="E82:P82" si="72">SUM(E78:E81)</f>
        <v>0</v>
      </c>
      <c r="F82" s="1076">
        <f t="shared" si="72"/>
        <v>0</v>
      </c>
      <c r="G82" s="1076">
        <f t="shared" si="72"/>
        <v>500</v>
      </c>
      <c r="H82" s="1076">
        <f t="shared" si="72"/>
        <v>0</v>
      </c>
      <c r="I82" s="1076">
        <f t="shared" si="72"/>
        <v>0</v>
      </c>
      <c r="J82" s="1076">
        <f t="shared" si="72"/>
        <v>0</v>
      </c>
      <c r="K82" s="1076">
        <f t="shared" si="72"/>
        <v>0</v>
      </c>
      <c r="L82" s="1076">
        <f t="shared" si="72"/>
        <v>0</v>
      </c>
      <c r="M82" s="1076">
        <f t="shared" si="72"/>
        <v>0</v>
      </c>
      <c r="N82" s="1076">
        <f t="shared" si="72"/>
        <v>500</v>
      </c>
      <c r="O82" s="1076">
        <f t="shared" si="72"/>
        <v>0</v>
      </c>
      <c r="P82" s="1077">
        <f t="shared" si="72"/>
        <v>0</v>
      </c>
      <c r="Q82" s="563"/>
      <c r="R82" s="1075"/>
      <c r="S82" s="1076">
        <f t="shared" ref="S82:AD82" si="73">SUM(S78:S81)</f>
        <v>500</v>
      </c>
      <c r="T82" s="1076">
        <f t="shared" si="73"/>
        <v>0</v>
      </c>
      <c r="U82" s="1076">
        <f t="shared" si="73"/>
        <v>50</v>
      </c>
      <c r="V82" s="1076">
        <f t="shared" si="73"/>
        <v>50</v>
      </c>
      <c r="W82" s="1076">
        <f t="shared" si="73"/>
        <v>0</v>
      </c>
      <c r="X82" s="1076">
        <f t="shared" si="73"/>
        <v>0</v>
      </c>
      <c r="Y82" s="1076">
        <f t="shared" si="73"/>
        <v>0</v>
      </c>
      <c r="Z82" s="1076">
        <f t="shared" si="73"/>
        <v>0</v>
      </c>
      <c r="AA82" s="1076">
        <f t="shared" si="73"/>
        <v>500</v>
      </c>
      <c r="AB82" s="1076">
        <f t="shared" si="73"/>
        <v>0</v>
      </c>
      <c r="AC82" s="1076">
        <f t="shared" si="73"/>
        <v>0</v>
      </c>
      <c r="AD82" s="1077">
        <f t="shared" si="73"/>
        <v>0</v>
      </c>
      <c r="AF82" s="1075"/>
      <c r="AG82" s="1076">
        <f t="shared" ref="AG82:AR82" si="74">SUM(AG78:AG81)</f>
        <v>0</v>
      </c>
      <c r="AH82" s="1076">
        <f t="shared" si="74"/>
        <v>0</v>
      </c>
      <c r="AI82" s="1076">
        <f t="shared" si="74"/>
        <v>0</v>
      </c>
      <c r="AJ82" s="1076">
        <f t="shared" si="74"/>
        <v>500</v>
      </c>
      <c r="AK82" s="1076">
        <f t="shared" si="74"/>
        <v>100</v>
      </c>
      <c r="AL82" s="1076">
        <f t="shared" si="74"/>
        <v>100</v>
      </c>
      <c r="AM82" s="1076">
        <f t="shared" si="74"/>
        <v>100</v>
      </c>
      <c r="AN82" s="1076">
        <f t="shared" si="74"/>
        <v>200</v>
      </c>
      <c r="AO82" s="1076">
        <f t="shared" si="74"/>
        <v>0</v>
      </c>
      <c r="AP82" s="1076">
        <f t="shared" si="74"/>
        <v>0</v>
      </c>
      <c r="AQ82" s="1076">
        <f t="shared" si="74"/>
        <v>0</v>
      </c>
      <c r="AR82" s="1077">
        <f t="shared" si="74"/>
        <v>500</v>
      </c>
    </row>
    <row r="83" spans="1:44" ht="16">
      <c r="A83" s="1091"/>
      <c r="B83" s="1091"/>
      <c r="C83" s="1091"/>
      <c r="D83" s="1091"/>
      <c r="E83" s="729"/>
      <c r="F83" s="729"/>
      <c r="G83" s="729"/>
      <c r="H83" s="729"/>
      <c r="I83" s="729"/>
      <c r="J83" s="729"/>
      <c r="K83" s="729"/>
      <c r="L83" s="729"/>
      <c r="M83" s="729"/>
      <c r="N83" s="729"/>
      <c r="O83" s="729"/>
      <c r="P83" s="729"/>
      <c r="Q83" s="563"/>
      <c r="R83" s="1091"/>
      <c r="S83" s="729"/>
      <c r="T83" s="729"/>
      <c r="U83" s="729"/>
      <c r="V83" s="729"/>
      <c r="W83" s="729"/>
      <c r="X83" s="729"/>
      <c r="Y83" s="729"/>
      <c r="Z83" s="729"/>
      <c r="AA83" s="729"/>
      <c r="AB83" s="729"/>
      <c r="AC83" s="729"/>
      <c r="AD83" s="729"/>
      <c r="AF83" s="1091"/>
      <c r="AG83" s="729"/>
      <c r="AH83" s="729"/>
      <c r="AI83" s="729"/>
      <c r="AJ83" s="729"/>
      <c r="AK83" s="729"/>
      <c r="AL83" s="729"/>
      <c r="AM83" s="729"/>
      <c r="AN83" s="729"/>
      <c r="AO83" s="729"/>
      <c r="AP83" s="729"/>
      <c r="AQ83" s="729"/>
      <c r="AR83" s="729"/>
    </row>
    <row r="84" spans="1:44" ht="16">
      <c r="A84" s="1075" t="s">
        <v>482</v>
      </c>
      <c r="B84" s="1090"/>
      <c r="C84" s="1090"/>
      <c r="D84" s="1090"/>
      <c r="E84" s="1076">
        <f>+E82+E74+E66+E58+E50</f>
        <v>1249.9950000000001</v>
      </c>
      <c r="F84" s="1076">
        <f t="shared" ref="F84:P84" si="75">+F82+F74+F66+F58+F50</f>
        <v>3649.9949999999999</v>
      </c>
      <c r="G84" s="1076">
        <f t="shared" si="75"/>
        <v>10249.994999999999</v>
      </c>
      <c r="H84" s="1076">
        <f t="shared" si="75"/>
        <v>7849.9949999999999</v>
      </c>
      <c r="I84" s="1076">
        <f t="shared" si="75"/>
        <v>8549.9950000000008</v>
      </c>
      <c r="J84" s="1076">
        <f t="shared" si="75"/>
        <v>13249.995000000001</v>
      </c>
      <c r="K84" s="1076">
        <f t="shared" si="75"/>
        <v>8249.9950000000008</v>
      </c>
      <c r="L84" s="1076">
        <f t="shared" si="75"/>
        <v>8949.9950000000008</v>
      </c>
      <c r="M84" s="1076">
        <f t="shared" si="75"/>
        <v>15049.995000000001</v>
      </c>
      <c r="N84" s="1076">
        <f t="shared" si="75"/>
        <v>10149.995000000001</v>
      </c>
      <c r="O84" s="1076">
        <f t="shared" si="75"/>
        <v>9649.9950000000008</v>
      </c>
      <c r="P84" s="1077">
        <f t="shared" si="75"/>
        <v>11149.995000000001</v>
      </c>
      <c r="Q84" s="563"/>
      <c r="R84" s="1075"/>
      <c r="S84" s="1076">
        <f>+S82+S74+S66+S58+S50</f>
        <v>2999.9900000000002</v>
      </c>
      <c r="T84" s="1076">
        <f t="shared" ref="T84:AD84" si="76">+T82+T74+T66+T58+T50</f>
        <v>5529.99</v>
      </c>
      <c r="U84" s="1076">
        <f t="shared" si="76"/>
        <v>14649.99</v>
      </c>
      <c r="V84" s="1076">
        <f t="shared" si="76"/>
        <v>10379.99</v>
      </c>
      <c r="W84" s="1076">
        <f t="shared" si="76"/>
        <v>12799.99</v>
      </c>
      <c r="X84" s="1076">
        <f t="shared" si="76"/>
        <v>19099.989999999998</v>
      </c>
      <c r="Y84" s="1076">
        <f t="shared" si="76"/>
        <v>12099.99</v>
      </c>
      <c r="Z84" s="1076">
        <f t="shared" si="76"/>
        <v>12909.99</v>
      </c>
      <c r="AA84" s="1076">
        <f t="shared" si="76"/>
        <v>20169.989999999998</v>
      </c>
      <c r="AB84" s="1076">
        <f t="shared" si="76"/>
        <v>13419.99</v>
      </c>
      <c r="AC84" s="1076">
        <f t="shared" si="76"/>
        <v>13419.99</v>
      </c>
      <c r="AD84" s="1077">
        <f t="shared" si="76"/>
        <v>15119.990000000002</v>
      </c>
      <c r="AF84" s="1075"/>
      <c r="AG84" s="1076">
        <f>+AG82+AG74+AG66+AG58+AG50</f>
        <v>6249.9750000000004</v>
      </c>
      <c r="AH84" s="1076">
        <f t="shared" ref="AH84:AR84" si="77">+AH82+AH74+AH66+AH58+AH50</f>
        <v>11229.975</v>
      </c>
      <c r="AI84" s="1076">
        <f t="shared" si="77"/>
        <v>21549.974999999999</v>
      </c>
      <c r="AJ84" s="1076">
        <f t="shared" si="77"/>
        <v>21229.974999999999</v>
      </c>
      <c r="AK84" s="1076">
        <f t="shared" si="77"/>
        <v>24749.974999999999</v>
      </c>
      <c r="AL84" s="1076">
        <f t="shared" si="77"/>
        <v>29449.974999999999</v>
      </c>
      <c r="AM84" s="1076">
        <f t="shared" si="77"/>
        <v>22749.974999999999</v>
      </c>
      <c r="AN84" s="1076">
        <f t="shared" si="77"/>
        <v>23809.974999999999</v>
      </c>
      <c r="AO84" s="1076">
        <f t="shared" si="77"/>
        <v>32469.974999999999</v>
      </c>
      <c r="AP84" s="1076">
        <f t="shared" si="77"/>
        <v>25369.974999999999</v>
      </c>
      <c r="AQ84" s="1076">
        <f t="shared" si="77"/>
        <v>24969.974999999999</v>
      </c>
      <c r="AR84" s="1077">
        <f t="shared" si="77"/>
        <v>25169.975000000002</v>
      </c>
    </row>
    <row r="86" spans="1:44" ht="21">
      <c r="A86" s="1092"/>
      <c r="B86" s="1093"/>
      <c r="C86" s="1093"/>
      <c r="D86" s="1094"/>
      <c r="E86" s="722" t="s">
        <v>472</v>
      </c>
      <c r="R86" s="710"/>
      <c r="S86" s="722" t="s">
        <v>472</v>
      </c>
      <c r="AF86" s="710"/>
      <c r="AG86" s="722" t="s">
        <v>472</v>
      </c>
    </row>
    <row r="87" spans="1:44" ht="19" customHeight="1">
      <c r="A87" s="1095" t="s">
        <v>468</v>
      </c>
      <c r="B87" s="1096"/>
      <c r="C87" s="1096"/>
      <c r="D87" s="1097"/>
      <c r="E87" s="707" t="s">
        <v>163</v>
      </c>
      <c r="F87" s="708" t="s">
        <v>164</v>
      </c>
      <c r="G87" s="708" t="s">
        <v>6</v>
      </c>
      <c r="H87" s="708" t="s">
        <v>7</v>
      </c>
      <c r="I87" s="708" t="s">
        <v>8</v>
      </c>
      <c r="J87" s="708" t="s">
        <v>9</v>
      </c>
      <c r="K87" s="708" t="s">
        <v>10</v>
      </c>
      <c r="L87" s="708" t="s">
        <v>11</v>
      </c>
      <c r="M87" s="708" t="s">
        <v>12</v>
      </c>
      <c r="N87" s="708" t="s">
        <v>13</v>
      </c>
      <c r="O87" s="708" t="s">
        <v>2</v>
      </c>
      <c r="P87" s="709" t="s">
        <v>3</v>
      </c>
      <c r="Q87" s="1102"/>
      <c r="R87" s="711"/>
      <c r="S87" s="707" t="s">
        <v>163</v>
      </c>
      <c r="T87" s="708" t="s">
        <v>164</v>
      </c>
      <c r="U87" s="708" t="s">
        <v>6</v>
      </c>
      <c r="V87" s="708" t="s">
        <v>7</v>
      </c>
      <c r="W87" s="708" t="s">
        <v>8</v>
      </c>
      <c r="X87" s="708" t="s">
        <v>9</v>
      </c>
      <c r="Y87" s="708" t="s">
        <v>10</v>
      </c>
      <c r="Z87" s="708" t="s">
        <v>11</v>
      </c>
      <c r="AA87" s="708" t="s">
        <v>12</v>
      </c>
      <c r="AB87" s="708" t="s">
        <v>13</v>
      </c>
      <c r="AC87" s="708" t="s">
        <v>2</v>
      </c>
      <c r="AD87" s="709" t="s">
        <v>3</v>
      </c>
      <c r="AF87" s="711"/>
      <c r="AG87" s="707" t="s">
        <v>163</v>
      </c>
      <c r="AH87" s="708" t="s">
        <v>164</v>
      </c>
      <c r="AI87" s="708" t="s">
        <v>6</v>
      </c>
      <c r="AJ87" s="708" t="s">
        <v>7</v>
      </c>
      <c r="AK87" s="708" t="s">
        <v>8</v>
      </c>
      <c r="AL87" s="708" t="s">
        <v>9</v>
      </c>
      <c r="AM87" s="708" t="s">
        <v>10</v>
      </c>
      <c r="AN87" s="708" t="s">
        <v>11</v>
      </c>
      <c r="AO87" s="708" t="s">
        <v>12</v>
      </c>
      <c r="AP87" s="708" t="s">
        <v>13</v>
      </c>
      <c r="AQ87" s="708" t="s">
        <v>2</v>
      </c>
      <c r="AR87" s="709" t="s">
        <v>3</v>
      </c>
    </row>
    <row r="88" spans="1:44">
      <c r="A88" s="689" t="s">
        <v>571</v>
      </c>
      <c r="B88" s="1082"/>
      <c r="C88" s="1082"/>
      <c r="D88" s="1082"/>
      <c r="E88" s="704">
        <v>100</v>
      </c>
      <c r="F88" s="704">
        <v>100</v>
      </c>
      <c r="G88" s="704">
        <v>100</v>
      </c>
      <c r="H88" s="704">
        <v>100</v>
      </c>
      <c r="I88" s="704">
        <v>100</v>
      </c>
      <c r="J88" s="704">
        <v>100</v>
      </c>
      <c r="K88" s="704">
        <v>100</v>
      </c>
      <c r="L88" s="704">
        <v>100</v>
      </c>
      <c r="M88" s="704">
        <v>100</v>
      </c>
      <c r="N88" s="704">
        <v>100</v>
      </c>
      <c r="O88" s="704">
        <v>100</v>
      </c>
      <c r="P88" s="705">
        <v>100</v>
      </c>
      <c r="Q88" s="1103"/>
      <c r="R88" s="689"/>
      <c r="S88" s="704">
        <v>200</v>
      </c>
      <c r="T88" s="704">
        <v>200</v>
      </c>
      <c r="U88" s="704">
        <v>200</v>
      </c>
      <c r="V88" s="704">
        <v>200</v>
      </c>
      <c r="W88" s="704">
        <v>200</v>
      </c>
      <c r="X88" s="704">
        <v>200</v>
      </c>
      <c r="Y88" s="704">
        <v>200</v>
      </c>
      <c r="Z88" s="704">
        <v>200</v>
      </c>
      <c r="AA88" s="704">
        <v>200</v>
      </c>
      <c r="AB88" s="704">
        <v>200</v>
      </c>
      <c r="AC88" s="704">
        <v>200</v>
      </c>
      <c r="AD88" s="705">
        <v>200</v>
      </c>
      <c r="AF88" s="689"/>
      <c r="AG88" s="704">
        <v>300</v>
      </c>
      <c r="AH88" s="704">
        <v>300</v>
      </c>
      <c r="AI88" s="704">
        <v>300</v>
      </c>
      <c r="AJ88" s="704">
        <v>300</v>
      </c>
      <c r="AK88" s="704">
        <v>300</v>
      </c>
      <c r="AL88" s="704">
        <v>300</v>
      </c>
      <c r="AM88" s="704">
        <v>300</v>
      </c>
      <c r="AN88" s="704">
        <v>300</v>
      </c>
      <c r="AO88" s="704">
        <v>300</v>
      </c>
      <c r="AP88" s="704">
        <v>300</v>
      </c>
      <c r="AQ88" s="704">
        <v>300</v>
      </c>
      <c r="AR88" s="705">
        <v>300</v>
      </c>
    </row>
    <row r="89" spans="1:44">
      <c r="A89" s="690" t="s">
        <v>572</v>
      </c>
      <c r="B89" s="1083"/>
      <c r="C89" s="1083"/>
      <c r="D89" s="1083"/>
      <c r="E89" s="703">
        <f t="shared" ref="E89:P89" si="78">+$D$13*E13*Product_Cost_2_Y1</f>
        <v>0</v>
      </c>
      <c r="F89" s="703">
        <f t="shared" si="78"/>
        <v>1050</v>
      </c>
      <c r="G89" s="703">
        <f t="shared" si="78"/>
        <v>1750</v>
      </c>
      <c r="H89" s="703">
        <f t="shared" si="78"/>
        <v>2800</v>
      </c>
      <c r="I89" s="703">
        <f t="shared" si="78"/>
        <v>3500</v>
      </c>
      <c r="J89" s="703">
        <f t="shared" si="78"/>
        <v>3500</v>
      </c>
      <c r="K89" s="703">
        <f t="shared" si="78"/>
        <v>3500</v>
      </c>
      <c r="L89" s="703">
        <f t="shared" si="78"/>
        <v>3850</v>
      </c>
      <c r="M89" s="703">
        <f t="shared" si="78"/>
        <v>4200</v>
      </c>
      <c r="N89" s="703">
        <f t="shared" si="78"/>
        <v>4200</v>
      </c>
      <c r="O89" s="703">
        <f t="shared" si="78"/>
        <v>4200</v>
      </c>
      <c r="P89" s="703">
        <f t="shared" si="78"/>
        <v>2450.0000000000005</v>
      </c>
      <c r="Q89" s="1103"/>
      <c r="R89" s="690"/>
      <c r="S89" s="703">
        <f t="shared" ref="S89:AD89" si="79">+$R$13*S13*Product_Cost_2_Y2</f>
        <v>0</v>
      </c>
      <c r="T89" s="703">
        <f t="shared" si="79"/>
        <v>1365</v>
      </c>
      <c r="U89" s="703">
        <f t="shared" si="79"/>
        <v>2275</v>
      </c>
      <c r="V89" s="703">
        <f t="shared" si="79"/>
        <v>3640</v>
      </c>
      <c r="W89" s="703">
        <f t="shared" si="79"/>
        <v>4550</v>
      </c>
      <c r="X89" s="703">
        <f t="shared" si="79"/>
        <v>4550</v>
      </c>
      <c r="Y89" s="703">
        <f t="shared" si="79"/>
        <v>4550</v>
      </c>
      <c r="Z89" s="703">
        <f t="shared" si="79"/>
        <v>5005</v>
      </c>
      <c r="AA89" s="703">
        <f t="shared" si="79"/>
        <v>5460</v>
      </c>
      <c r="AB89" s="703">
        <f t="shared" si="79"/>
        <v>5460</v>
      </c>
      <c r="AC89" s="703">
        <f t="shared" si="79"/>
        <v>5460</v>
      </c>
      <c r="AD89" s="703">
        <f t="shared" si="79"/>
        <v>3185.0000000000005</v>
      </c>
      <c r="AF89" s="690"/>
      <c r="AG89" s="703">
        <f t="shared" ref="AG89:AR89" si="80">+$AF$13*AG13*Product_Cost_2_Y3</f>
        <v>0</v>
      </c>
      <c r="AH89" s="703">
        <f t="shared" si="80"/>
        <v>1980</v>
      </c>
      <c r="AI89" s="703">
        <f t="shared" si="80"/>
        <v>3300</v>
      </c>
      <c r="AJ89" s="703">
        <f t="shared" si="80"/>
        <v>5280</v>
      </c>
      <c r="AK89" s="703">
        <f t="shared" si="80"/>
        <v>6600</v>
      </c>
      <c r="AL89" s="703">
        <f t="shared" si="80"/>
        <v>6600</v>
      </c>
      <c r="AM89" s="703">
        <f t="shared" si="80"/>
        <v>6600</v>
      </c>
      <c r="AN89" s="703">
        <f t="shared" si="80"/>
        <v>7260</v>
      </c>
      <c r="AO89" s="703">
        <f t="shared" si="80"/>
        <v>7920</v>
      </c>
      <c r="AP89" s="703">
        <f t="shared" si="80"/>
        <v>7920</v>
      </c>
      <c r="AQ89" s="703">
        <f t="shared" si="80"/>
        <v>7920</v>
      </c>
      <c r="AR89" s="703">
        <f t="shared" si="80"/>
        <v>4620.0000000000009</v>
      </c>
    </row>
    <row r="90" spans="1:44">
      <c r="A90" s="690" t="s">
        <v>573</v>
      </c>
      <c r="B90" s="1083"/>
      <c r="C90" s="1083"/>
      <c r="D90" s="1083"/>
      <c r="E90" s="703">
        <v>500</v>
      </c>
      <c r="F90" s="703">
        <v>500</v>
      </c>
      <c r="G90" s="703">
        <v>500</v>
      </c>
      <c r="H90" s="703">
        <v>500</v>
      </c>
      <c r="I90" s="703">
        <v>500</v>
      </c>
      <c r="J90" s="703">
        <v>500</v>
      </c>
      <c r="K90" s="703">
        <v>500</v>
      </c>
      <c r="L90" s="703">
        <v>500</v>
      </c>
      <c r="M90" s="703">
        <v>500</v>
      </c>
      <c r="N90" s="703">
        <v>500</v>
      </c>
      <c r="O90" s="703">
        <v>500</v>
      </c>
      <c r="P90" s="706">
        <v>500</v>
      </c>
      <c r="Q90" s="1103"/>
      <c r="R90" s="690"/>
      <c r="S90" s="703">
        <v>750</v>
      </c>
      <c r="T90" s="703">
        <v>750</v>
      </c>
      <c r="U90" s="703">
        <v>750</v>
      </c>
      <c r="V90" s="703">
        <v>750</v>
      </c>
      <c r="W90" s="703">
        <v>750</v>
      </c>
      <c r="X90" s="703">
        <v>750</v>
      </c>
      <c r="Y90" s="703">
        <v>750</v>
      </c>
      <c r="Z90" s="703">
        <v>750</v>
      </c>
      <c r="AA90" s="703">
        <v>750</v>
      </c>
      <c r="AB90" s="703">
        <v>750</v>
      </c>
      <c r="AC90" s="703">
        <v>750</v>
      </c>
      <c r="AD90" s="706">
        <v>750</v>
      </c>
      <c r="AF90" s="690"/>
      <c r="AG90" s="703">
        <v>1000</v>
      </c>
      <c r="AH90" s="703">
        <v>1000</v>
      </c>
      <c r="AI90" s="703">
        <v>1000</v>
      </c>
      <c r="AJ90" s="703">
        <v>1000</v>
      </c>
      <c r="AK90" s="703">
        <v>1000</v>
      </c>
      <c r="AL90" s="703">
        <v>1000</v>
      </c>
      <c r="AM90" s="703">
        <v>1000</v>
      </c>
      <c r="AN90" s="703">
        <v>1000</v>
      </c>
      <c r="AO90" s="703">
        <v>1000</v>
      </c>
      <c r="AP90" s="703">
        <v>1000</v>
      </c>
      <c r="AQ90" s="703">
        <v>1000</v>
      </c>
      <c r="AR90" s="706">
        <v>1000</v>
      </c>
    </row>
    <row r="91" spans="1:44">
      <c r="A91" s="690"/>
      <c r="B91" s="1083"/>
      <c r="C91" s="1083"/>
      <c r="D91" s="1083"/>
      <c r="E91" s="703"/>
      <c r="F91" s="703"/>
      <c r="G91" s="703"/>
      <c r="H91" s="703"/>
      <c r="I91" s="703"/>
      <c r="J91" s="703"/>
      <c r="K91" s="703"/>
      <c r="L91" s="703"/>
      <c r="M91" s="703"/>
      <c r="N91" s="703"/>
      <c r="O91" s="703"/>
      <c r="P91" s="706"/>
      <c r="Q91" s="1103"/>
      <c r="R91" s="690"/>
      <c r="S91" s="703"/>
      <c r="T91" s="703"/>
      <c r="U91" s="703"/>
      <c r="V91" s="703"/>
      <c r="W91" s="703"/>
      <c r="X91" s="703"/>
      <c r="Y91" s="703"/>
      <c r="Z91" s="703"/>
      <c r="AA91" s="703"/>
      <c r="AB91" s="703"/>
      <c r="AC91" s="703"/>
      <c r="AD91" s="706"/>
      <c r="AF91" s="690"/>
      <c r="AG91" s="703"/>
      <c r="AH91" s="703"/>
      <c r="AI91" s="703"/>
      <c r="AJ91" s="703"/>
      <c r="AK91" s="703"/>
      <c r="AL91" s="703"/>
      <c r="AM91" s="703"/>
      <c r="AN91" s="703"/>
      <c r="AO91" s="703"/>
      <c r="AP91" s="703"/>
      <c r="AQ91" s="703"/>
      <c r="AR91" s="706"/>
    </row>
    <row r="92" spans="1:44">
      <c r="A92" s="690"/>
      <c r="B92" s="1083"/>
      <c r="C92" s="1083"/>
      <c r="D92" s="1083"/>
      <c r="E92" s="703"/>
      <c r="F92" s="703"/>
      <c r="G92" s="703"/>
      <c r="H92" s="703"/>
      <c r="I92" s="703"/>
      <c r="J92" s="703"/>
      <c r="K92" s="703"/>
      <c r="L92" s="703"/>
      <c r="M92" s="703"/>
      <c r="N92" s="703"/>
      <c r="O92" s="703"/>
      <c r="P92" s="706"/>
      <c r="Q92" s="1103"/>
      <c r="R92" s="690"/>
      <c r="S92" s="703"/>
      <c r="T92" s="703"/>
      <c r="U92" s="703"/>
      <c r="V92" s="703"/>
      <c r="W92" s="703"/>
      <c r="X92" s="703"/>
      <c r="Y92" s="703"/>
      <c r="Z92" s="703"/>
      <c r="AA92" s="703"/>
      <c r="AB92" s="703"/>
      <c r="AC92" s="703"/>
      <c r="AD92" s="706"/>
      <c r="AF92" s="690"/>
      <c r="AG92" s="703"/>
      <c r="AH92" s="703"/>
      <c r="AI92" s="703"/>
      <c r="AJ92" s="703"/>
      <c r="AK92" s="703"/>
      <c r="AL92" s="703"/>
      <c r="AM92" s="703"/>
      <c r="AN92" s="703"/>
      <c r="AO92" s="703"/>
      <c r="AP92" s="703"/>
      <c r="AQ92" s="703"/>
      <c r="AR92" s="706"/>
    </row>
    <row r="93" spans="1:44" ht="16">
      <c r="A93" s="1075" t="s">
        <v>469</v>
      </c>
      <c r="B93" s="1090"/>
      <c r="C93" s="1090"/>
      <c r="D93" s="1090"/>
      <c r="E93" s="1078">
        <f>SUM(E88:E92)</f>
        <v>600</v>
      </c>
      <c r="F93" s="1078">
        <f t="shared" ref="F93:P93" si="81">SUM(F88:F92)</f>
        <v>1650</v>
      </c>
      <c r="G93" s="1078">
        <f t="shared" si="81"/>
        <v>2350</v>
      </c>
      <c r="H93" s="1078">
        <f t="shared" si="81"/>
        <v>3400</v>
      </c>
      <c r="I93" s="1078">
        <f t="shared" si="81"/>
        <v>4100</v>
      </c>
      <c r="J93" s="1078">
        <f t="shared" si="81"/>
        <v>4100</v>
      </c>
      <c r="K93" s="1078">
        <f t="shared" si="81"/>
        <v>4100</v>
      </c>
      <c r="L93" s="1078">
        <f t="shared" si="81"/>
        <v>4450</v>
      </c>
      <c r="M93" s="1078">
        <f t="shared" si="81"/>
        <v>4800</v>
      </c>
      <c r="N93" s="1078">
        <f t="shared" si="81"/>
        <v>4800</v>
      </c>
      <c r="O93" s="1078">
        <f t="shared" si="81"/>
        <v>4800</v>
      </c>
      <c r="P93" s="1079">
        <f t="shared" si="81"/>
        <v>3050.0000000000005</v>
      </c>
      <c r="Q93" s="1104"/>
      <c r="R93" s="1075"/>
      <c r="S93" s="1078">
        <f>SUM(S88:S92)</f>
        <v>950</v>
      </c>
      <c r="T93" s="1078">
        <f t="shared" ref="T93:AD93" si="82">SUM(T88:T92)</f>
        <v>2315</v>
      </c>
      <c r="U93" s="1078">
        <f t="shared" si="82"/>
        <v>3225</v>
      </c>
      <c r="V93" s="1078">
        <f t="shared" si="82"/>
        <v>4590</v>
      </c>
      <c r="W93" s="1078">
        <f t="shared" si="82"/>
        <v>5500</v>
      </c>
      <c r="X93" s="1078">
        <f t="shared" si="82"/>
        <v>5500</v>
      </c>
      <c r="Y93" s="1078">
        <f t="shared" si="82"/>
        <v>5500</v>
      </c>
      <c r="Z93" s="1078">
        <f t="shared" si="82"/>
        <v>5955</v>
      </c>
      <c r="AA93" s="1078">
        <f t="shared" si="82"/>
        <v>6410</v>
      </c>
      <c r="AB93" s="1078">
        <f t="shared" si="82"/>
        <v>6410</v>
      </c>
      <c r="AC93" s="1078">
        <f t="shared" si="82"/>
        <v>6410</v>
      </c>
      <c r="AD93" s="1079">
        <f t="shared" si="82"/>
        <v>4135</v>
      </c>
      <c r="AF93" s="1075"/>
      <c r="AG93" s="1078">
        <f>SUM(AG88:AG92)</f>
        <v>1300</v>
      </c>
      <c r="AH93" s="1078">
        <f t="shared" ref="AH93:AR93" si="83">SUM(AH88:AH92)</f>
        <v>3280</v>
      </c>
      <c r="AI93" s="1078">
        <f t="shared" si="83"/>
        <v>4600</v>
      </c>
      <c r="AJ93" s="1078">
        <f t="shared" si="83"/>
        <v>6580</v>
      </c>
      <c r="AK93" s="1078">
        <f t="shared" si="83"/>
        <v>7900</v>
      </c>
      <c r="AL93" s="1078">
        <f t="shared" si="83"/>
        <v>7900</v>
      </c>
      <c r="AM93" s="1078">
        <f t="shared" si="83"/>
        <v>7900</v>
      </c>
      <c r="AN93" s="1078">
        <f t="shared" si="83"/>
        <v>8560</v>
      </c>
      <c r="AO93" s="1078">
        <f t="shared" si="83"/>
        <v>9220</v>
      </c>
      <c r="AP93" s="1078">
        <f t="shared" si="83"/>
        <v>9220</v>
      </c>
      <c r="AQ93" s="1078">
        <f t="shared" si="83"/>
        <v>9220</v>
      </c>
      <c r="AR93" s="1079">
        <f t="shared" si="83"/>
        <v>5920.0000000000009</v>
      </c>
    </row>
    <row r="95" spans="1:44" ht="21">
      <c r="A95" s="1092"/>
      <c r="B95" s="1093"/>
      <c r="C95" s="1093"/>
      <c r="D95" s="1094"/>
      <c r="R95" s="710"/>
      <c r="AF95" s="710"/>
    </row>
    <row r="96" spans="1:44" ht="19" customHeight="1">
      <c r="A96" s="1095" t="s">
        <v>470</v>
      </c>
      <c r="B96" s="1096"/>
      <c r="C96" s="1096"/>
      <c r="D96" s="1097"/>
      <c r="E96" s="707" t="s">
        <v>163</v>
      </c>
      <c r="F96" s="708" t="s">
        <v>164</v>
      </c>
      <c r="G96" s="708" t="s">
        <v>6</v>
      </c>
      <c r="H96" s="708" t="s">
        <v>7</v>
      </c>
      <c r="I96" s="708" t="s">
        <v>8</v>
      </c>
      <c r="J96" s="708" t="s">
        <v>9</v>
      </c>
      <c r="K96" s="708" t="s">
        <v>10</v>
      </c>
      <c r="L96" s="708" t="s">
        <v>11</v>
      </c>
      <c r="M96" s="708" t="s">
        <v>12</v>
      </c>
      <c r="N96" s="708" t="s">
        <v>13</v>
      </c>
      <c r="O96" s="708" t="s">
        <v>2</v>
      </c>
      <c r="P96" s="709" t="s">
        <v>3</v>
      </c>
      <c r="Q96" s="1102"/>
      <c r="R96" s="711"/>
      <c r="S96" s="707" t="s">
        <v>163</v>
      </c>
      <c r="T96" s="708" t="s">
        <v>164</v>
      </c>
      <c r="U96" s="708" t="s">
        <v>6</v>
      </c>
      <c r="V96" s="708" t="s">
        <v>7</v>
      </c>
      <c r="W96" s="708" t="s">
        <v>8</v>
      </c>
      <c r="X96" s="708" t="s">
        <v>9</v>
      </c>
      <c r="Y96" s="708" t="s">
        <v>10</v>
      </c>
      <c r="Z96" s="708" t="s">
        <v>11</v>
      </c>
      <c r="AA96" s="708" t="s">
        <v>12</v>
      </c>
      <c r="AB96" s="708" t="s">
        <v>13</v>
      </c>
      <c r="AC96" s="708" t="s">
        <v>2</v>
      </c>
      <c r="AD96" s="709" t="s">
        <v>3</v>
      </c>
      <c r="AF96" s="711"/>
      <c r="AG96" s="707" t="s">
        <v>163</v>
      </c>
      <c r="AH96" s="708" t="s">
        <v>164</v>
      </c>
      <c r="AI96" s="708" t="s">
        <v>6</v>
      </c>
      <c r="AJ96" s="708" t="s">
        <v>7</v>
      </c>
      <c r="AK96" s="708" t="s">
        <v>8</v>
      </c>
      <c r="AL96" s="708" t="s">
        <v>9</v>
      </c>
      <c r="AM96" s="708" t="s">
        <v>10</v>
      </c>
      <c r="AN96" s="708" t="s">
        <v>11</v>
      </c>
      <c r="AO96" s="708" t="s">
        <v>12</v>
      </c>
      <c r="AP96" s="708" t="s">
        <v>13</v>
      </c>
      <c r="AQ96" s="708" t="s">
        <v>2</v>
      </c>
      <c r="AR96" s="709" t="s">
        <v>3</v>
      </c>
    </row>
    <row r="97" spans="1:44">
      <c r="A97" s="713"/>
      <c r="B97" s="1098"/>
      <c r="C97" s="1098"/>
      <c r="D97" s="1098"/>
      <c r="E97" s="704">
        <v>1000</v>
      </c>
      <c r="F97" s="704"/>
      <c r="G97" s="704"/>
      <c r="H97" s="704"/>
      <c r="I97" s="704">
        <v>1000</v>
      </c>
      <c r="J97" s="704"/>
      <c r="K97" s="704"/>
      <c r="L97" s="704"/>
      <c r="M97" s="704">
        <v>1000</v>
      </c>
      <c r="N97" s="704"/>
      <c r="O97" s="704"/>
      <c r="P97" s="705">
        <v>1000</v>
      </c>
      <c r="Q97" s="1103"/>
      <c r="R97" s="713"/>
      <c r="S97" s="704"/>
      <c r="T97" s="704"/>
      <c r="U97" s="704">
        <v>2500</v>
      </c>
      <c r="V97" s="704"/>
      <c r="W97" s="704"/>
      <c r="X97" s="704">
        <v>2500</v>
      </c>
      <c r="Y97" s="704"/>
      <c r="Z97" s="704"/>
      <c r="AA97" s="704"/>
      <c r="AB97" s="704"/>
      <c r="AC97" s="704"/>
      <c r="AD97" s="705"/>
      <c r="AF97" s="713"/>
      <c r="AG97" s="704"/>
      <c r="AH97" s="704"/>
      <c r="AI97" s="704"/>
      <c r="AJ97" s="704"/>
      <c r="AK97" s="704"/>
      <c r="AL97" s="704"/>
      <c r="AM97" s="704">
        <v>3000</v>
      </c>
      <c r="AN97" s="704"/>
      <c r="AO97" s="704"/>
      <c r="AP97" s="704"/>
      <c r="AQ97" s="704"/>
      <c r="AR97" s="705">
        <v>3000</v>
      </c>
    </row>
    <row r="98" spans="1:44">
      <c r="A98" s="715"/>
      <c r="B98" s="1099"/>
      <c r="C98" s="1099"/>
      <c r="D98" s="1099"/>
      <c r="E98" s="702"/>
      <c r="F98" s="702"/>
      <c r="G98" s="702"/>
      <c r="H98" s="702"/>
      <c r="I98" s="702"/>
      <c r="J98" s="702"/>
      <c r="K98" s="702"/>
      <c r="L98" s="702"/>
      <c r="M98" s="702"/>
      <c r="N98" s="702"/>
      <c r="O98" s="702"/>
      <c r="P98" s="716"/>
      <c r="Q98" s="1103"/>
      <c r="R98" s="715"/>
      <c r="S98" s="702"/>
      <c r="T98" s="702"/>
      <c r="U98" s="702"/>
      <c r="V98" s="702"/>
      <c r="W98" s="702"/>
      <c r="X98" s="702"/>
      <c r="Y98" s="702"/>
      <c r="Z98" s="702"/>
      <c r="AA98" s="702"/>
      <c r="AB98" s="702"/>
      <c r="AC98" s="702"/>
      <c r="AD98" s="716"/>
      <c r="AF98" s="715"/>
      <c r="AG98" s="702"/>
      <c r="AH98" s="702"/>
      <c r="AI98" s="702"/>
      <c r="AJ98" s="702"/>
      <c r="AK98" s="702"/>
      <c r="AL98" s="702"/>
      <c r="AM98" s="702"/>
      <c r="AN98" s="702"/>
      <c r="AO98" s="702"/>
      <c r="AP98" s="702"/>
      <c r="AQ98" s="702"/>
      <c r="AR98" s="716"/>
    </row>
    <row r="99" spans="1:44">
      <c r="A99" s="714"/>
      <c r="B99" s="1100"/>
      <c r="C99" s="1100"/>
      <c r="D99" s="1100"/>
      <c r="E99" s="703"/>
      <c r="F99" s="703"/>
      <c r="G99" s="703"/>
      <c r="H99" s="703"/>
      <c r="I99" s="703"/>
      <c r="J99" s="703"/>
      <c r="K99" s="703"/>
      <c r="L99" s="703"/>
      <c r="M99" s="703"/>
      <c r="N99" s="703"/>
      <c r="O99" s="703"/>
      <c r="P99" s="706"/>
      <c r="Q99" s="1103"/>
      <c r="R99" s="714"/>
      <c r="S99" s="703"/>
      <c r="T99" s="703"/>
      <c r="U99" s="703"/>
      <c r="V99" s="703"/>
      <c r="W99" s="703"/>
      <c r="X99" s="703"/>
      <c r="Y99" s="703"/>
      <c r="Z99" s="703"/>
      <c r="AA99" s="703"/>
      <c r="AB99" s="703"/>
      <c r="AC99" s="703"/>
      <c r="AD99" s="706"/>
      <c r="AF99" s="714"/>
      <c r="AG99" s="703"/>
      <c r="AH99" s="703"/>
      <c r="AI99" s="703"/>
      <c r="AJ99" s="703"/>
      <c r="AK99" s="703"/>
      <c r="AL99" s="703"/>
      <c r="AM99" s="703"/>
      <c r="AN99" s="703"/>
      <c r="AO99" s="703"/>
      <c r="AP99" s="703"/>
      <c r="AQ99" s="703"/>
      <c r="AR99" s="706"/>
    </row>
    <row r="100" spans="1:44">
      <c r="A100" s="1101"/>
      <c r="B100" s="1100"/>
      <c r="C100" s="1100"/>
      <c r="D100" s="1100"/>
      <c r="E100" s="703"/>
      <c r="F100" s="703"/>
      <c r="G100" s="703"/>
      <c r="H100" s="703"/>
      <c r="I100" s="703"/>
      <c r="J100" s="703"/>
      <c r="K100" s="703"/>
      <c r="L100" s="703"/>
      <c r="M100" s="703"/>
      <c r="N100" s="703"/>
      <c r="O100" s="703"/>
      <c r="P100" s="706"/>
      <c r="Q100" s="1103"/>
      <c r="R100" s="714"/>
      <c r="S100" s="703"/>
      <c r="T100" s="703"/>
      <c r="U100" s="703"/>
      <c r="V100" s="703"/>
      <c r="W100" s="703"/>
      <c r="X100" s="703"/>
      <c r="Y100" s="703"/>
      <c r="Z100" s="703"/>
      <c r="AA100" s="703"/>
      <c r="AB100" s="703"/>
      <c r="AC100" s="703"/>
      <c r="AD100" s="706"/>
      <c r="AF100" s="714"/>
      <c r="AG100" s="703"/>
      <c r="AH100" s="703"/>
      <c r="AI100" s="703"/>
      <c r="AJ100" s="703"/>
      <c r="AK100" s="703"/>
      <c r="AL100" s="703"/>
      <c r="AM100" s="703"/>
      <c r="AN100" s="703"/>
      <c r="AO100" s="703"/>
      <c r="AP100" s="703"/>
      <c r="AQ100" s="703"/>
      <c r="AR100" s="706"/>
    </row>
    <row r="101" spans="1:44" ht="16">
      <c r="A101" s="1075" t="s">
        <v>471</v>
      </c>
      <c r="B101" s="1090"/>
      <c r="C101" s="1090"/>
      <c r="D101" s="1090"/>
      <c r="E101" s="1078">
        <f>SUM(E97:E100)</f>
        <v>1000</v>
      </c>
      <c r="F101" s="1078">
        <f t="shared" ref="F101:P101" si="84">SUM(F97:F100)</f>
        <v>0</v>
      </c>
      <c r="G101" s="1078">
        <f t="shared" si="84"/>
        <v>0</v>
      </c>
      <c r="H101" s="1078">
        <f t="shared" si="84"/>
        <v>0</v>
      </c>
      <c r="I101" s="1078">
        <f t="shared" si="84"/>
        <v>1000</v>
      </c>
      <c r="J101" s="1078">
        <f t="shared" si="84"/>
        <v>0</v>
      </c>
      <c r="K101" s="1078">
        <f t="shared" si="84"/>
        <v>0</v>
      </c>
      <c r="L101" s="1078">
        <f t="shared" si="84"/>
        <v>0</v>
      </c>
      <c r="M101" s="1078">
        <f t="shared" si="84"/>
        <v>1000</v>
      </c>
      <c r="N101" s="1078">
        <f t="shared" si="84"/>
        <v>0</v>
      </c>
      <c r="O101" s="1078">
        <f t="shared" si="84"/>
        <v>0</v>
      </c>
      <c r="P101" s="1079">
        <f t="shared" si="84"/>
        <v>1000</v>
      </c>
      <c r="Q101" s="1104"/>
      <c r="R101" s="1075"/>
      <c r="S101" s="1078">
        <f>SUM(S97:S100)</f>
        <v>0</v>
      </c>
      <c r="T101" s="1078">
        <f t="shared" ref="T101:AD101" si="85">SUM(T97:T100)</f>
        <v>0</v>
      </c>
      <c r="U101" s="1078">
        <f t="shared" si="85"/>
        <v>2500</v>
      </c>
      <c r="V101" s="1078">
        <f t="shared" si="85"/>
        <v>0</v>
      </c>
      <c r="W101" s="1078">
        <f t="shared" si="85"/>
        <v>0</v>
      </c>
      <c r="X101" s="1078">
        <f t="shared" si="85"/>
        <v>2500</v>
      </c>
      <c r="Y101" s="1078">
        <f t="shared" si="85"/>
        <v>0</v>
      </c>
      <c r="Z101" s="1078">
        <f t="shared" si="85"/>
        <v>0</v>
      </c>
      <c r="AA101" s="1078">
        <f t="shared" si="85"/>
        <v>0</v>
      </c>
      <c r="AB101" s="1078">
        <f t="shared" si="85"/>
        <v>0</v>
      </c>
      <c r="AC101" s="1078">
        <f t="shared" si="85"/>
        <v>0</v>
      </c>
      <c r="AD101" s="1079">
        <f t="shared" si="85"/>
        <v>0</v>
      </c>
      <c r="AF101" s="1075"/>
      <c r="AG101" s="1078">
        <f>SUM(AG97:AG100)</f>
        <v>0</v>
      </c>
      <c r="AH101" s="1078">
        <f t="shared" ref="AH101:AR101" si="86">SUM(AH97:AH100)</f>
        <v>0</v>
      </c>
      <c r="AI101" s="1078">
        <f t="shared" si="86"/>
        <v>0</v>
      </c>
      <c r="AJ101" s="1078">
        <f t="shared" si="86"/>
        <v>0</v>
      </c>
      <c r="AK101" s="1078">
        <f t="shared" si="86"/>
        <v>0</v>
      </c>
      <c r="AL101" s="1078">
        <f t="shared" si="86"/>
        <v>0</v>
      </c>
      <c r="AM101" s="1078">
        <f t="shared" si="86"/>
        <v>3000</v>
      </c>
      <c r="AN101" s="1078">
        <f t="shared" si="86"/>
        <v>0</v>
      </c>
      <c r="AO101" s="1078">
        <f t="shared" si="86"/>
        <v>0</v>
      </c>
      <c r="AP101" s="1078">
        <f t="shared" si="86"/>
        <v>0</v>
      </c>
      <c r="AQ101" s="1078">
        <f t="shared" si="86"/>
        <v>0</v>
      </c>
      <c r="AR101" s="1079">
        <f t="shared" si="86"/>
        <v>3000</v>
      </c>
    </row>
    <row r="105" spans="1:44">
      <c r="A105" s="1007" t="s">
        <v>382</v>
      </c>
    </row>
    <row r="107" spans="1:44">
      <c r="A107" s="669" t="s">
        <v>460</v>
      </c>
    </row>
    <row r="108" spans="1:44" ht="36" customHeight="1">
      <c r="A108" s="1245" t="s">
        <v>461</v>
      </c>
      <c r="B108" s="1245"/>
      <c r="C108" s="1245"/>
      <c r="D108" s="1245"/>
      <c r="E108" s="1245"/>
      <c r="F108" s="1245"/>
      <c r="G108" s="1245"/>
      <c r="H108" s="1245"/>
      <c r="I108" s="1245"/>
      <c r="J108" s="1245"/>
      <c r="K108" s="1245"/>
      <c r="L108" s="1245"/>
      <c r="M108" s="1245"/>
      <c r="N108" s="1245"/>
    </row>
    <row r="109" spans="1:44">
      <c r="A109" s="1080" t="s">
        <v>462</v>
      </c>
    </row>
    <row r="111" spans="1:44">
      <c r="A111" s="674" t="s">
        <v>483</v>
      </c>
    </row>
  </sheetData>
  <mergeCells count="73">
    <mergeCell ref="B3:C3"/>
    <mergeCell ref="K3:L3"/>
    <mergeCell ref="M3:O3"/>
    <mergeCell ref="B5:C5"/>
    <mergeCell ref="B4:C4"/>
    <mergeCell ref="B12:C12"/>
    <mergeCell ref="B13:C13"/>
    <mergeCell ref="B20:C20"/>
    <mergeCell ref="B11:C11"/>
    <mergeCell ref="B19:C19"/>
    <mergeCell ref="I27:J27"/>
    <mergeCell ref="K27:L27"/>
    <mergeCell ref="M27:O27"/>
    <mergeCell ref="B6:C6"/>
    <mergeCell ref="B7:C7"/>
    <mergeCell ref="B8:C8"/>
    <mergeCell ref="B21:C21"/>
    <mergeCell ref="I19:J19"/>
    <mergeCell ref="B14:C14"/>
    <mergeCell ref="B15:C15"/>
    <mergeCell ref="B16:C16"/>
    <mergeCell ref="K19:L19"/>
    <mergeCell ref="M19:O19"/>
    <mergeCell ref="M11:O11"/>
    <mergeCell ref="I11:J11"/>
    <mergeCell ref="K11:L11"/>
    <mergeCell ref="B28:C28"/>
    <mergeCell ref="B29:C29"/>
    <mergeCell ref="B38:C38"/>
    <mergeCell ref="B39:C39"/>
    <mergeCell ref="B22:C22"/>
    <mergeCell ref="B23:C23"/>
    <mergeCell ref="B30:C30"/>
    <mergeCell ref="B31:C31"/>
    <mergeCell ref="B32:C32"/>
    <mergeCell ref="B24:C24"/>
    <mergeCell ref="B27:C27"/>
    <mergeCell ref="B40:C40"/>
    <mergeCell ref="A108:N108"/>
    <mergeCell ref="I35:J35"/>
    <mergeCell ref="K35:L35"/>
    <mergeCell ref="M35:O35"/>
    <mergeCell ref="B36:C36"/>
    <mergeCell ref="B37:C37"/>
    <mergeCell ref="B35:C35"/>
    <mergeCell ref="Y3:Z3"/>
    <mergeCell ref="AA3:AC3"/>
    <mergeCell ref="W11:X11"/>
    <mergeCell ref="Y11:Z11"/>
    <mergeCell ref="AA11:AC11"/>
    <mergeCell ref="AM35:AN35"/>
    <mergeCell ref="W19:X19"/>
    <mergeCell ref="Y19:Z19"/>
    <mergeCell ref="AA19:AC19"/>
    <mergeCell ref="W27:X27"/>
    <mergeCell ref="Y27:Z27"/>
    <mergeCell ref="AA27:AC27"/>
    <mergeCell ref="AO35:AQ35"/>
    <mergeCell ref="W35:X35"/>
    <mergeCell ref="Y35:Z35"/>
    <mergeCell ref="AA35:AC35"/>
    <mergeCell ref="AM3:AN3"/>
    <mergeCell ref="AO3:AQ3"/>
    <mergeCell ref="AK11:AL11"/>
    <mergeCell ref="AM11:AN11"/>
    <mergeCell ref="AO11:AQ11"/>
    <mergeCell ref="AK19:AL19"/>
    <mergeCell ref="AM19:AN19"/>
    <mergeCell ref="AO19:AQ19"/>
    <mergeCell ref="AK27:AL27"/>
    <mergeCell ref="AM27:AN27"/>
    <mergeCell ref="AO27:AQ27"/>
    <mergeCell ref="AK35:AL35"/>
  </mergeCells>
  <conditionalFormatting sqref="Q13">
    <cfRule type="cellIs" dxfId="1" priority="1" operator="equal">
      <formula>1</formula>
    </cfRule>
    <cfRule type="cellIs" dxfId="0" priority="2" operator="greaterThan">
      <formula>1</formula>
    </cfRule>
  </conditionalFormatting>
  <pageMargins left="0.7" right="0.7" top="0.78740157499999996" bottom="0.78740157499999996" header="0.3" footer="0.3"/>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4AD3-629A-8448-9908-3BF3C6687AE6}">
  <sheetPr>
    <pageSetUpPr fitToPage="1"/>
  </sheetPr>
  <dimension ref="B2:AY61"/>
  <sheetViews>
    <sheetView showGridLines="0" zoomScale="130" zoomScaleNormal="130" zoomScalePageLayoutView="125" workbookViewId="0">
      <pane xSplit="9" topLeftCell="J1" activePane="topRight" state="frozen"/>
      <selection activeCell="A3" sqref="A3"/>
      <selection pane="topRight" activeCell="AA13" sqref="AA13"/>
    </sheetView>
  </sheetViews>
  <sheetFormatPr baseColWidth="10" defaultColWidth="10.796875" defaultRowHeight="13"/>
  <cols>
    <col min="1" max="2" width="2.796875" style="196" customWidth="1"/>
    <col min="3" max="3" width="3.796875" style="196" customWidth="1"/>
    <col min="4" max="4" width="21.796875" style="196" customWidth="1"/>
    <col min="5" max="5" width="6" style="196" customWidth="1"/>
    <col min="6" max="6" width="9.19921875" style="196" customWidth="1"/>
    <col min="7" max="7" width="7" style="196" customWidth="1"/>
    <col min="8" max="8" width="1.19921875" style="196" customWidth="1"/>
    <col min="9" max="9" width="14.19921875" style="196" customWidth="1"/>
    <col min="10" max="21" width="7" style="196" customWidth="1"/>
    <col min="22" max="22" width="1.19921875" style="196" customWidth="1"/>
    <col min="23" max="34" width="7" style="196" customWidth="1"/>
    <col min="35" max="35" width="1.19921875" style="196" customWidth="1"/>
    <col min="36" max="47" width="7" style="196" customWidth="1"/>
    <col min="48" max="48" width="6.796875" style="196" customWidth="1"/>
    <col min="49" max="16384" width="10.796875" style="196"/>
  </cols>
  <sheetData>
    <row r="2" spans="2:51" ht="14" customHeight="1">
      <c r="B2" s="933"/>
      <c r="C2" s="934"/>
      <c r="D2" s="935"/>
      <c r="E2" s="938"/>
      <c r="F2" s="938"/>
      <c r="G2" s="935"/>
      <c r="H2" s="935"/>
      <c r="I2" s="935"/>
      <c r="J2" s="935"/>
      <c r="K2" s="935"/>
      <c r="L2" s="935"/>
      <c r="M2" s="935"/>
      <c r="N2" s="935"/>
      <c r="O2" s="935"/>
      <c r="P2" s="937" t="s">
        <v>551</v>
      </c>
      <c r="Q2" s="935"/>
      <c r="R2" s="935"/>
      <c r="S2" s="935"/>
      <c r="T2" s="935"/>
      <c r="U2" s="935"/>
      <c r="V2" s="935"/>
      <c r="W2" s="935"/>
      <c r="X2" s="935"/>
      <c r="Y2" s="935"/>
      <c r="Z2" s="935"/>
      <c r="AA2" s="935"/>
      <c r="AB2" s="935"/>
      <c r="AC2" s="936"/>
      <c r="AD2" s="935"/>
      <c r="AE2" s="935"/>
      <c r="AF2" s="935"/>
      <c r="AG2" s="935"/>
      <c r="AH2" s="935"/>
      <c r="AI2" s="935"/>
      <c r="AJ2" s="935"/>
      <c r="AK2" s="935"/>
      <c r="AL2" s="935"/>
      <c r="AM2" s="935"/>
      <c r="AN2" s="935"/>
      <c r="AO2" s="935"/>
      <c r="AP2" s="936"/>
      <c r="AQ2" s="935"/>
      <c r="AR2" s="935"/>
      <c r="AS2" s="935"/>
      <c r="AT2" s="935"/>
      <c r="AU2" s="935"/>
      <c r="AV2" s="935"/>
    </row>
    <row r="3" spans="2:51" ht="14" customHeight="1">
      <c r="B3" s="214"/>
      <c r="C3" s="215" t="str">
        <f>+Parameter!D4&amp;", "&amp;Parameter!D15</f>
        <v>company name, Location</v>
      </c>
      <c r="M3" s="216"/>
      <c r="N3" s="217"/>
      <c r="O3" s="200" t="s">
        <v>384</v>
      </c>
      <c r="P3" s="1258">
        <v>1000</v>
      </c>
      <c r="Q3" s="1258"/>
      <c r="R3" s="218" t="s">
        <v>257</v>
      </c>
      <c r="AA3" s="202"/>
      <c r="AB3" s="203"/>
      <c r="AC3" s="1259"/>
      <c r="AD3" s="1259"/>
      <c r="AE3" s="202"/>
      <c r="AN3" s="202"/>
      <c r="AO3" s="203"/>
      <c r="AP3" s="1259"/>
      <c r="AQ3" s="1259"/>
      <c r="AR3" s="202"/>
      <c r="AV3" s="206"/>
    </row>
    <row r="4" spans="2:51" ht="14" customHeight="1">
      <c r="B4" s="214"/>
      <c r="C4" s="202"/>
      <c r="F4" s="272"/>
      <c r="G4" s="272"/>
      <c r="W4" s="196" t="s">
        <v>438</v>
      </c>
      <c r="AA4" s="1322">
        <v>0.02</v>
      </c>
      <c r="AJ4" s="196" t="s">
        <v>438</v>
      </c>
      <c r="AN4" s="1322">
        <v>0.05</v>
      </c>
      <c r="AV4" s="206"/>
    </row>
    <row r="5" spans="2:51" ht="18" customHeight="1">
      <c r="B5" s="214"/>
      <c r="C5" s="1260" t="s">
        <v>436</v>
      </c>
      <c r="D5" s="1261"/>
      <c r="E5" s="1261"/>
      <c r="F5" s="1261"/>
      <c r="G5" s="1262"/>
      <c r="H5" s="932"/>
      <c r="I5" s="932"/>
      <c r="J5" s="1263" t="str">
        <f>Parameter!$D$8&amp;" "&amp;Parameter!D6</f>
        <v>Year 2023</v>
      </c>
      <c r="K5" s="1264"/>
      <c r="L5" s="1264"/>
      <c r="M5" s="1264"/>
      <c r="N5" s="1264"/>
      <c r="O5" s="1264"/>
      <c r="P5" s="1264"/>
      <c r="Q5" s="1264"/>
      <c r="R5" s="1264"/>
      <c r="S5" s="1264"/>
      <c r="T5" s="1264"/>
      <c r="U5" s="1264"/>
      <c r="V5" s="228"/>
      <c r="W5" s="1263" t="str">
        <f>Parameter!$D$8&amp;" "&amp;Parameter!E6</f>
        <v>Year 2024</v>
      </c>
      <c r="X5" s="1264"/>
      <c r="Y5" s="1264"/>
      <c r="Z5" s="1264"/>
      <c r="AA5" s="1321"/>
      <c r="AB5" s="1264"/>
      <c r="AC5" s="1264"/>
      <c r="AD5" s="1264"/>
      <c r="AE5" s="1264"/>
      <c r="AF5" s="1264"/>
      <c r="AG5" s="1264"/>
      <c r="AH5" s="1264"/>
      <c r="AI5" s="227"/>
      <c r="AJ5" s="1263" t="str">
        <f>Parameter!$D$8&amp;" "&amp;Parameter!F6</f>
        <v>Year 2025</v>
      </c>
      <c r="AK5" s="1264"/>
      <c r="AL5" s="1264"/>
      <c r="AM5" s="1264"/>
      <c r="AN5" s="1321"/>
      <c r="AO5" s="1264"/>
      <c r="AP5" s="1264"/>
      <c r="AQ5" s="1264"/>
      <c r="AR5" s="1264"/>
      <c r="AS5" s="1264"/>
      <c r="AT5" s="1264"/>
      <c r="AU5" s="1264"/>
      <c r="AV5" s="206"/>
    </row>
    <row r="6" spans="2:51" s="222" customFormat="1" ht="44" customHeight="1" thickBot="1">
      <c r="B6" s="220"/>
      <c r="C6" s="225" t="s">
        <v>20</v>
      </c>
      <c r="D6" s="222" t="s">
        <v>19</v>
      </c>
      <c r="E6" s="226" t="s">
        <v>243</v>
      </c>
      <c r="F6" s="226" t="s">
        <v>437</v>
      </c>
      <c r="G6" s="931" t="s">
        <v>563</v>
      </c>
      <c r="H6" s="226"/>
      <c r="I6" s="226"/>
      <c r="J6" s="237" t="s">
        <v>4</v>
      </c>
      <c r="K6" s="237" t="s">
        <v>5</v>
      </c>
      <c r="L6" s="237" t="s">
        <v>48</v>
      </c>
      <c r="M6" s="237" t="s">
        <v>7</v>
      </c>
      <c r="N6" s="237" t="s">
        <v>49</v>
      </c>
      <c r="O6" s="237" t="s">
        <v>9</v>
      </c>
      <c r="P6" s="237" t="s">
        <v>10</v>
      </c>
      <c r="Q6" s="237" t="s">
        <v>11</v>
      </c>
      <c r="R6" s="237" t="s">
        <v>12</v>
      </c>
      <c r="S6" s="237" t="s">
        <v>50</v>
      </c>
      <c r="T6" s="237" t="s">
        <v>2</v>
      </c>
      <c r="U6" s="237" t="s">
        <v>51</v>
      </c>
      <c r="V6" s="226"/>
      <c r="W6" s="237" t="s">
        <v>4</v>
      </c>
      <c r="X6" s="237" t="s">
        <v>5</v>
      </c>
      <c r="Y6" s="237" t="s">
        <v>48</v>
      </c>
      <c r="Z6" s="237" t="s">
        <v>7</v>
      </c>
      <c r="AA6" s="237" t="s">
        <v>49</v>
      </c>
      <c r="AB6" s="237" t="s">
        <v>9</v>
      </c>
      <c r="AC6" s="237" t="s">
        <v>10</v>
      </c>
      <c r="AD6" s="237" t="s">
        <v>11</v>
      </c>
      <c r="AE6" s="237" t="s">
        <v>12</v>
      </c>
      <c r="AF6" s="237" t="s">
        <v>50</v>
      </c>
      <c r="AG6" s="237" t="s">
        <v>2</v>
      </c>
      <c r="AH6" s="237" t="s">
        <v>51</v>
      </c>
      <c r="AI6" s="268"/>
      <c r="AJ6" s="237" t="s">
        <v>4</v>
      </c>
      <c r="AK6" s="237" t="s">
        <v>5</v>
      </c>
      <c r="AL6" s="237" t="s">
        <v>48</v>
      </c>
      <c r="AM6" s="237" t="s">
        <v>7</v>
      </c>
      <c r="AN6" s="237" t="s">
        <v>49</v>
      </c>
      <c r="AO6" s="237" t="s">
        <v>9</v>
      </c>
      <c r="AP6" s="237" t="s">
        <v>10</v>
      </c>
      <c r="AQ6" s="237" t="s">
        <v>11</v>
      </c>
      <c r="AR6" s="237" t="s">
        <v>12</v>
      </c>
      <c r="AS6" s="237" t="s">
        <v>50</v>
      </c>
      <c r="AT6" s="237" t="s">
        <v>2</v>
      </c>
      <c r="AU6" s="237" t="s">
        <v>51</v>
      </c>
      <c r="AV6" s="221"/>
    </row>
    <row r="7" spans="2:51" ht="14" thickBot="1">
      <c r="B7" s="214"/>
      <c r="C7" s="1253">
        <v>1</v>
      </c>
      <c r="D7" s="1254" t="s">
        <v>296</v>
      </c>
      <c r="E7" s="1185"/>
      <c r="F7" s="1256">
        <v>120000</v>
      </c>
      <c r="G7" s="1257">
        <v>0.23</v>
      </c>
      <c r="H7" s="229"/>
      <c r="I7" s="233" t="s">
        <v>249</v>
      </c>
      <c r="J7" s="943">
        <v>1</v>
      </c>
      <c r="K7" s="943">
        <v>1</v>
      </c>
      <c r="L7" s="943">
        <v>1</v>
      </c>
      <c r="M7" s="943">
        <v>1</v>
      </c>
      <c r="N7" s="944">
        <v>1</v>
      </c>
      <c r="O7" s="944">
        <v>1</v>
      </c>
      <c r="P7" s="944">
        <v>1</v>
      </c>
      <c r="Q7" s="944">
        <v>1</v>
      </c>
      <c r="R7" s="944">
        <v>1</v>
      </c>
      <c r="S7" s="944">
        <v>1</v>
      </c>
      <c r="T7" s="944">
        <v>1</v>
      </c>
      <c r="U7" s="944">
        <v>1</v>
      </c>
      <c r="V7" s="239"/>
      <c r="W7" s="943">
        <v>1</v>
      </c>
      <c r="X7" s="943">
        <v>1</v>
      </c>
      <c r="Y7" s="943">
        <v>1</v>
      </c>
      <c r="Z7" s="943">
        <v>1</v>
      </c>
      <c r="AA7" s="944">
        <v>1</v>
      </c>
      <c r="AB7" s="944">
        <v>1</v>
      </c>
      <c r="AC7" s="944">
        <v>1</v>
      </c>
      <c r="AD7" s="944">
        <v>1</v>
      </c>
      <c r="AE7" s="944">
        <v>1</v>
      </c>
      <c r="AF7" s="944">
        <v>1</v>
      </c>
      <c r="AG7" s="944">
        <v>1</v>
      </c>
      <c r="AH7" s="944">
        <v>1</v>
      </c>
      <c r="AI7" s="240"/>
      <c r="AJ7" s="943">
        <v>1</v>
      </c>
      <c r="AK7" s="943">
        <v>1</v>
      </c>
      <c r="AL7" s="943">
        <v>1</v>
      </c>
      <c r="AM7" s="943">
        <v>1</v>
      </c>
      <c r="AN7" s="944">
        <v>1</v>
      </c>
      <c r="AO7" s="944">
        <v>1</v>
      </c>
      <c r="AP7" s="944">
        <v>1</v>
      </c>
      <c r="AQ7" s="944">
        <v>1</v>
      </c>
      <c r="AR7" s="944">
        <v>1</v>
      </c>
      <c r="AS7" s="944">
        <v>1</v>
      </c>
      <c r="AT7" s="944">
        <v>1</v>
      </c>
      <c r="AU7" s="944">
        <v>1</v>
      </c>
      <c r="AV7" s="206"/>
      <c r="AX7" s="205"/>
      <c r="AY7" s="204"/>
    </row>
    <row r="8" spans="2:51" ht="14" thickBot="1">
      <c r="B8" s="214"/>
      <c r="C8" s="1253"/>
      <c r="D8" s="1254"/>
      <c r="E8" s="942" t="s">
        <v>240</v>
      </c>
      <c r="F8" s="1256"/>
      <c r="G8" s="1257"/>
      <c r="H8" s="231"/>
      <c r="I8" s="234" t="s">
        <v>75</v>
      </c>
      <c r="J8" s="236">
        <f t="shared" ref="J8:U8" si="0">J7*$F7/12/$P$3</f>
        <v>10</v>
      </c>
      <c r="K8" s="236">
        <f t="shared" si="0"/>
        <v>10</v>
      </c>
      <c r="L8" s="236">
        <f t="shared" si="0"/>
        <v>10</v>
      </c>
      <c r="M8" s="236">
        <f t="shared" si="0"/>
        <v>10</v>
      </c>
      <c r="N8" s="236">
        <f t="shared" si="0"/>
        <v>10</v>
      </c>
      <c r="O8" s="236">
        <f t="shared" si="0"/>
        <v>10</v>
      </c>
      <c r="P8" s="236">
        <f t="shared" si="0"/>
        <v>10</v>
      </c>
      <c r="Q8" s="236">
        <f t="shared" si="0"/>
        <v>10</v>
      </c>
      <c r="R8" s="236">
        <f t="shared" si="0"/>
        <v>10</v>
      </c>
      <c r="S8" s="236">
        <f t="shared" si="0"/>
        <v>10</v>
      </c>
      <c r="T8" s="236">
        <f t="shared" si="0"/>
        <v>10</v>
      </c>
      <c r="U8" s="236">
        <f t="shared" si="0"/>
        <v>10</v>
      </c>
      <c r="V8" s="268"/>
      <c r="W8" s="238">
        <f t="shared" ref="W8:AH8" si="1">W7*$F7/12/$P$3*(1+$AA$4)</f>
        <v>10.199999999999999</v>
      </c>
      <c r="X8" s="236">
        <f t="shared" si="1"/>
        <v>10.199999999999999</v>
      </c>
      <c r="Y8" s="236">
        <f t="shared" si="1"/>
        <v>10.199999999999999</v>
      </c>
      <c r="Z8" s="236">
        <f t="shared" si="1"/>
        <v>10.199999999999999</v>
      </c>
      <c r="AA8" s="236">
        <f t="shared" si="1"/>
        <v>10.199999999999999</v>
      </c>
      <c r="AB8" s="236">
        <f t="shared" si="1"/>
        <v>10.199999999999999</v>
      </c>
      <c r="AC8" s="236">
        <f t="shared" si="1"/>
        <v>10.199999999999999</v>
      </c>
      <c r="AD8" s="236">
        <f t="shared" si="1"/>
        <v>10.199999999999999</v>
      </c>
      <c r="AE8" s="236">
        <f t="shared" si="1"/>
        <v>10.199999999999999</v>
      </c>
      <c r="AF8" s="236">
        <f t="shared" si="1"/>
        <v>10.199999999999999</v>
      </c>
      <c r="AG8" s="236">
        <f t="shared" si="1"/>
        <v>10.199999999999999</v>
      </c>
      <c r="AH8" s="236">
        <f t="shared" si="1"/>
        <v>10.199999999999999</v>
      </c>
      <c r="AI8" s="940"/>
      <c r="AJ8" s="238">
        <f t="shared" ref="AJ8:AU8" si="2">AJ7*$F7/12/$P$3*(1+$AN$4)*(1+$AA$4)</f>
        <v>10.71</v>
      </c>
      <c r="AK8" s="236">
        <f t="shared" si="2"/>
        <v>10.71</v>
      </c>
      <c r="AL8" s="236">
        <f t="shared" si="2"/>
        <v>10.71</v>
      </c>
      <c r="AM8" s="236">
        <f t="shared" si="2"/>
        <v>10.71</v>
      </c>
      <c r="AN8" s="236">
        <f t="shared" si="2"/>
        <v>10.71</v>
      </c>
      <c r="AO8" s="236">
        <f t="shared" si="2"/>
        <v>10.71</v>
      </c>
      <c r="AP8" s="236">
        <f t="shared" si="2"/>
        <v>10.71</v>
      </c>
      <c r="AQ8" s="236">
        <f t="shared" si="2"/>
        <v>10.71</v>
      </c>
      <c r="AR8" s="236">
        <f t="shared" si="2"/>
        <v>10.71</v>
      </c>
      <c r="AS8" s="236">
        <f t="shared" si="2"/>
        <v>10.71</v>
      </c>
      <c r="AT8" s="236">
        <f t="shared" si="2"/>
        <v>10.71</v>
      </c>
      <c r="AU8" s="236">
        <f t="shared" si="2"/>
        <v>10.71</v>
      </c>
      <c r="AV8" s="206"/>
      <c r="AX8" s="205"/>
      <c r="AY8" s="204"/>
    </row>
    <row r="9" spans="2:51" ht="14" thickBot="1">
      <c r="B9" s="214"/>
      <c r="C9" s="1253">
        <v>2</v>
      </c>
      <c r="D9" s="1254" t="s">
        <v>296</v>
      </c>
      <c r="E9" s="1185"/>
      <c r="F9" s="1256">
        <v>0</v>
      </c>
      <c r="G9" s="1257">
        <v>0.22</v>
      </c>
      <c r="H9" s="229"/>
      <c r="I9" s="233" t="s">
        <v>249</v>
      </c>
      <c r="J9" s="943">
        <v>0</v>
      </c>
      <c r="K9" s="943">
        <v>0</v>
      </c>
      <c r="L9" s="943">
        <v>0</v>
      </c>
      <c r="M9" s="943">
        <v>0</v>
      </c>
      <c r="N9" s="944">
        <v>0</v>
      </c>
      <c r="O9" s="944">
        <v>0</v>
      </c>
      <c r="P9" s="944">
        <v>0</v>
      </c>
      <c r="Q9" s="944">
        <v>0</v>
      </c>
      <c r="R9" s="944">
        <v>0</v>
      </c>
      <c r="S9" s="944">
        <v>0</v>
      </c>
      <c r="T9" s="944">
        <v>0</v>
      </c>
      <c r="U9" s="944">
        <v>0</v>
      </c>
      <c r="V9" s="239"/>
      <c r="W9" s="943">
        <v>0</v>
      </c>
      <c r="X9" s="943">
        <v>0</v>
      </c>
      <c r="Y9" s="943">
        <v>0</v>
      </c>
      <c r="Z9" s="943">
        <v>0</v>
      </c>
      <c r="AA9" s="944">
        <v>0</v>
      </c>
      <c r="AB9" s="944">
        <v>0</v>
      </c>
      <c r="AC9" s="944">
        <v>0</v>
      </c>
      <c r="AD9" s="944">
        <v>0</v>
      </c>
      <c r="AE9" s="944">
        <v>0</v>
      </c>
      <c r="AF9" s="944">
        <v>0</v>
      </c>
      <c r="AG9" s="944">
        <v>0</v>
      </c>
      <c r="AH9" s="944">
        <v>0</v>
      </c>
      <c r="AI9" s="240"/>
      <c r="AJ9" s="943">
        <v>0</v>
      </c>
      <c r="AK9" s="943">
        <v>0</v>
      </c>
      <c r="AL9" s="943">
        <v>0</v>
      </c>
      <c r="AM9" s="943">
        <v>0</v>
      </c>
      <c r="AN9" s="944">
        <v>0</v>
      </c>
      <c r="AO9" s="944">
        <v>0</v>
      </c>
      <c r="AP9" s="944">
        <v>0</v>
      </c>
      <c r="AQ9" s="944">
        <v>0</v>
      </c>
      <c r="AR9" s="944">
        <v>0</v>
      </c>
      <c r="AS9" s="944">
        <v>0</v>
      </c>
      <c r="AT9" s="944">
        <v>0</v>
      </c>
      <c r="AU9" s="944">
        <v>0</v>
      </c>
      <c r="AV9" s="206"/>
      <c r="AX9" s="205"/>
      <c r="AY9" s="204"/>
    </row>
    <row r="10" spans="2:51" ht="14" thickBot="1">
      <c r="B10" s="214"/>
      <c r="C10" s="1253"/>
      <c r="D10" s="1254"/>
      <c r="E10" s="942" t="s">
        <v>240</v>
      </c>
      <c r="F10" s="1256"/>
      <c r="G10" s="1257"/>
      <c r="H10" s="231"/>
      <c r="I10" s="234" t="s">
        <v>75</v>
      </c>
      <c r="J10" s="238">
        <f t="shared" ref="J10:U10" si="3">J9*$F9/12/$P$3</f>
        <v>0</v>
      </c>
      <c r="K10" s="238">
        <f t="shared" si="3"/>
        <v>0</v>
      </c>
      <c r="L10" s="238">
        <f t="shared" si="3"/>
        <v>0</v>
      </c>
      <c r="M10" s="238">
        <f t="shared" si="3"/>
        <v>0</v>
      </c>
      <c r="N10" s="238">
        <f t="shared" si="3"/>
        <v>0</v>
      </c>
      <c r="O10" s="238">
        <f t="shared" si="3"/>
        <v>0</v>
      </c>
      <c r="P10" s="238">
        <f t="shared" si="3"/>
        <v>0</v>
      </c>
      <c r="Q10" s="238">
        <f t="shared" si="3"/>
        <v>0</v>
      </c>
      <c r="R10" s="238">
        <f t="shared" si="3"/>
        <v>0</v>
      </c>
      <c r="S10" s="238">
        <f t="shared" si="3"/>
        <v>0</v>
      </c>
      <c r="T10" s="238">
        <f t="shared" si="3"/>
        <v>0</v>
      </c>
      <c r="U10" s="238">
        <f t="shared" si="3"/>
        <v>0</v>
      </c>
      <c r="V10" s="268"/>
      <c r="W10" s="238">
        <f t="shared" ref="W10:AH10" si="4">W9*$F9/12/$P$3*(1+$AA$4)</f>
        <v>0</v>
      </c>
      <c r="X10" s="236">
        <f t="shared" si="4"/>
        <v>0</v>
      </c>
      <c r="Y10" s="236">
        <f t="shared" si="4"/>
        <v>0</v>
      </c>
      <c r="Z10" s="236">
        <f t="shared" si="4"/>
        <v>0</v>
      </c>
      <c r="AA10" s="236">
        <f t="shared" si="4"/>
        <v>0</v>
      </c>
      <c r="AB10" s="236">
        <f t="shared" si="4"/>
        <v>0</v>
      </c>
      <c r="AC10" s="236">
        <f t="shared" si="4"/>
        <v>0</v>
      </c>
      <c r="AD10" s="236">
        <f t="shared" si="4"/>
        <v>0</v>
      </c>
      <c r="AE10" s="236">
        <f t="shared" si="4"/>
        <v>0</v>
      </c>
      <c r="AF10" s="236">
        <f t="shared" si="4"/>
        <v>0</v>
      </c>
      <c r="AG10" s="236">
        <f t="shared" si="4"/>
        <v>0</v>
      </c>
      <c r="AH10" s="236">
        <f t="shared" si="4"/>
        <v>0</v>
      </c>
      <c r="AI10" s="940"/>
      <c r="AJ10" s="238">
        <f t="shared" ref="AJ10:AU10" si="5">AJ9*$F9/12/$P$3*(1+$AN$4)*(1+$AA$4)</f>
        <v>0</v>
      </c>
      <c r="AK10" s="236">
        <f t="shared" si="5"/>
        <v>0</v>
      </c>
      <c r="AL10" s="236">
        <f t="shared" si="5"/>
        <v>0</v>
      </c>
      <c r="AM10" s="236">
        <f t="shared" si="5"/>
        <v>0</v>
      </c>
      <c r="AN10" s="236">
        <f t="shared" si="5"/>
        <v>0</v>
      </c>
      <c r="AO10" s="236">
        <f t="shared" si="5"/>
        <v>0</v>
      </c>
      <c r="AP10" s="236">
        <f t="shared" si="5"/>
        <v>0</v>
      </c>
      <c r="AQ10" s="236">
        <f t="shared" si="5"/>
        <v>0</v>
      </c>
      <c r="AR10" s="236">
        <f t="shared" si="5"/>
        <v>0</v>
      </c>
      <c r="AS10" s="236">
        <f t="shared" si="5"/>
        <v>0</v>
      </c>
      <c r="AT10" s="236">
        <f t="shared" si="5"/>
        <v>0</v>
      </c>
      <c r="AU10" s="236">
        <f t="shared" si="5"/>
        <v>0</v>
      </c>
      <c r="AV10" s="206"/>
      <c r="AX10" s="205"/>
      <c r="AY10" s="204"/>
    </row>
    <row r="11" spans="2:51" ht="14" thickBot="1">
      <c r="B11" s="214"/>
      <c r="C11" s="1253">
        <v>3</v>
      </c>
      <c r="D11" s="1254" t="s">
        <v>480</v>
      </c>
      <c r="E11" s="1185"/>
      <c r="F11" s="1256">
        <v>84000</v>
      </c>
      <c r="G11" s="1257">
        <v>0.21</v>
      </c>
      <c r="H11" s="229"/>
      <c r="I11" s="233" t="s">
        <v>249</v>
      </c>
      <c r="J11" s="943">
        <v>1</v>
      </c>
      <c r="K11" s="943">
        <v>1</v>
      </c>
      <c r="L11" s="943">
        <v>1</v>
      </c>
      <c r="M11" s="943">
        <v>1</v>
      </c>
      <c r="N11" s="944">
        <v>1</v>
      </c>
      <c r="O11" s="944">
        <v>1</v>
      </c>
      <c r="P11" s="944">
        <v>1</v>
      </c>
      <c r="Q11" s="944">
        <v>1</v>
      </c>
      <c r="R11" s="944">
        <v>1</v>
      </c>
      <c r="S11" s="944">
        <v>1</v>
      </c>
      <c r="T11" s="944">
        <v>1</v>
      </c>
      <c r="U11" s="944">
        <v>1</v>
      </c>
      <c r="V11" s="239"/>
      <c r="W11" s="943">
        <v>1</v>
      </c>
      <c r="X11" s="943">
        <v>1</v>
      </c>
      <c r="Y11" s="943">
        <v>1</v>
      </c>
      <c r="Z11" s="943">
        <v>1</v>
      </c>
      <c r="AA11" s="944">
        <v>1</v>
      </c>
      <c r="AB11" s="944">
        <v>1</v>
      </c>
      <c r="AC11" s="944">
        <v>1</v>
      </c>
      <c r="AD11" s="944">
        <v>1</v>
      </c>
      <c r="AE11" s="944">
        <v>1</v>
      </c>
      <c r="AF11" s="944">
        <v>1</v>
      </c>
      <c r="AG11" s="944">
        <v>1</v>
      </c>
      <c r="AH11" s="944">
        <v>1</v>
      </c>
      <c r="AI11" s="240"/>
      <c r="AJ11" s="943">
        <v>1</v>
      </c>
      <c r="AK11" s="943">
        <v>1</v>
      </c>
      <c r="AL11" s="943">
        <v>1</v>
      </c>
      <c r="AM11" s="943">
        <v>1</v>
      </c>
      <c r="AN11" s="944">
        <v>1</v>
      </c>
      <c r="AO11" s="944">
        <v>1</v>
      </c>
      <c r="AP11" s="944">
        <v>1</v>
      </c>
      <c r="AQ11" s="944">
        <v>1</v>
      </c>
      <c r="AR11" s="944">
        <v>1</v>
      </c>
      <c r="AS11" s="944">
        <v>1</v>
      </c>
      <c r="AT11" s="944">
        <v>1</v>
      </c>
      <c r="AU11" s="944">
        <v>1</v>
      </c>
      <c r="AV11" s="206"/>
      <c r="AX11" s="205"/>
      <c r="AY11" s="204"/>
    </row>
    <row r="12" spans="2:51" ht="14" thickBot="1">
      <c r="B12" s="214"/>
      <c r="C12" s="1253"/>
      <c r="D12" s="1254"/>
      <c r="E12" s="942" t="s">
        <v>244</v>
      </c>
      <c r="F12" s="1256"/>
      <c r="G12" s="1257"/>
      <c r="H12" s="231"/>
      <c r="I12" s="234" t="s">
        <v>75</v>
      </c>
      <c r="J12" s="238">
        <f t="shared" ref="J12:U12" si="6">J11*$F11/12/$P$3</f>
        <v>7</v>
      </c>
      <c r="K12" s="238">
        <f t="shared" si="6"/>
        <v>7</v>
      </c>
      <c r="L12" s="238">
        <f t="shared" si="6"/>
        <v>7</v>
      </c>
      <c r="M12" s="238">
        <f t="shared" si="6"/>
        <v>7</v>
      </c>
      <c r="N12" s="238">
        <f t="shared" si="6"/>
        <v>7</v>
      </c>
      <c r="O12" s="238">
        <f t="shared" si="6"/>
        <v>7</v>
      </c>
      <c r="P12" s="238">
        <f t="shared" si="6"/>
        <v>7</v>
      </c>
      <c r="Q12" s="238">
        <f t="shared" si="6"/>
        <v>7</v>
      </c>
      <c r="R12" s="238">
        <f t="shared" si="6"/>
        <v>7</v>
      </c>
      <c r="S12" s="238">
        <f t="shared" si="6"/>
        <v>7</v>
      </c>
      <c r="T12" s="238">
        <f t="shared" si="6"/>
        <v>7</v>
      </c>
      <c r="U12" s="238">
        <f t="shared" si="6"/>
        <v>7</v>
      </c>
      <c r="V12" s="268"/>
      <c r="W12" s="238">
        <f t="shared" ref="W12:AH12" si="7">W11*$F11/12/$P$3*(1+$AA$4)</f>
        <v>7.1400000000000006</v>
      </c>
      <c r="X12" s="236">
        <f t="shared" si="7"/>
        <v>7.1400000000000006</v>
      </c>
      <c r="Y12" s="236">
        <f t="shared" si="7"/>
        <v>7.1400000000000006</v>
      </c>
      <c r="Z12" s="236">
        <f t="shared" si="7"/>
        <v>7.1400000000000006</v>
      </c>
      <c r="AA12" s="236">
        <f t="shared" si="7"/>
        <v>7.1400000000000006</v>
      </c>
      <c r="AB12" s="236">
        <f t="shared" si="7"/>
        <v>7.1400000000000006</v>
      </c>
      <c r="AC12" s="236">
        <f t="shared" si="7"/>
        <v>7.1400000000000006</v>
      </c>
      <c r="AD12" s="236">
        <f t="shared" si="7"/>
        <v>7.1400000000000006</v>
      </c>
      <c r="AE12" s="236">
        <f t="shared" si="7"/>
        <v>7.1400000000000006</v>
      </c>
      <c r="AF12" s="236">
        <f t="shared" si="7"/>
        <v>7.1400000000000006</v>
      </c>
      <c r="AG12" s="236">
        <f t="shared" si="7"/>
        <v>7.1400000000000006</v>
      </c>
      <c r="AH12" s="236">
        <f t="shared" si="7"/>
        <v>7.1400000000000006</v>
      </c>
      <c r="AI12" s="940"/>
      <c r="AJ12" s="238">
        <f t="shared" ref="AJ12:AU12" si="8">AJ11*$F11/12/$P$3*(1+$AN$4)*(1+$AA$4)</f>
        <v>7.4970000000000008</v>
      </c>
      <c r="AK12" s="236">
        <f t="shared" si="8"/>
        <v>7.4970000000000008</v>
      </c>
      <c r="AL12" s="236">
        <f t="shared" si="8"/>
        <v>7.4970000000000008</v>
      </c>
      <c r="AM12" s="236">
        <f t="shared" si="8"/>
        <v>7.4970000000000008</v>
      </c>
      <c r="AN12" s="236">
        <f t="shared" si="8"/>
        <v>7.4970000000000008</v>
      </c>
      <c r="AO12" s="236">
        <f t="shared" si="8"/>
        <v>7.4970000000000008</v>
      </c>
      <c r="AP12" s="236">
        <f t="shared" si="8"/>
        <v>7.4970000000000008</v>
      </c>
      <c r="AQ12" s="236">
        <f t="shared" si="8"/>
        <v>7.4970000000000008</v>
      </c>
      <c r="AR12" s="236">
        <f t="shared" si="8"/>
        <v>7.4970000000000008</v>
      </c>
      <c r="AS12" s="236">
        <f t="shared" si="8"/>
        <v>7.4970000000000008</v>
      </c>
      <c r="AT12" s="236">
        <f t="shared" si="8"/>
        <v>7.4970000000000008</v>
      </c>
      <c r="AU12" s="236">
        <f t="shared" si="8"/>
        <v>7.4970000000000008</v>
      </c>
      <c r="AV12" s="206"/>
      <c r="AX12" s="205"/>
      <c r="AY12" s="204"/>
    </row>
    <row r="13" spans="2:51" ht="14" thickBot="1">
      <c r="B13" s="214"/>
      <c r="C13" s="1253">
        <v>4</v>
      </c>
      <c r="D13" s="1254" t="s">
        <v>559</v>
      </c>
      <c r="E13" s="1185"/>
      <c r="F13" s="1256">
        <v>18000</v>
      </c>
      <c r="G13" s="1257">
        <v>0</v>
      </c>
      <c r="H13" s="229"/>
      <c r="I13" s="233" t="s">
        <v>249</v>
      </c>
      <c r="J13" s="943">
        <v>1</v>
      </c>
      <c r="K13" s="943">
        <v>1</v>
      </c>
      <c r="L13" s="943">
        <v>1</v>
      </c>
      <c r="M13" s="943">
        <v>1</v>
      </c>
      <c r="N13" s="944">
        <v>1</v>
      </c>
      <c r="O13" s="944">
        <v>1</v>
      </c>
      <c r="P13" s="944">
        <v>1</v>
      </c>
      <c r="Q13" s="944">
        <v>1</v>
      </c>
      <c r="R13" s="944">
        <v>1</v>
      </c>
      <c r="S13" s="944">
        <v>1</v>
      </c>
      <c r="T13" s="944">
        <v>1</v>
      </c>
      <c r="U13" s="944">
        <v>1</v>
      </c>
      <c r="V13" s="239"/>
      <c r="W13" s="943">
        <v>1</v>
      </c>
      <c r="X13" s="943">
        <v>1</v>
      </c>
      <c r="Y13" s="943">
        <v>1</v>
      </c>
      <c r="Z13" s="943">
        <v>1</v>
      </c>
      <c r="AA13" s="944">
        <v>1</v>
      </c>
      <c r="AB13" s="944">
        <v>1</v>
      </c>
      <c r="AC13" s="944">
        <v>1</v>
      </c>
      <c r="AD13" s="944">
        <v>1</v>
      </c>
      <c r="AE13" s="944">
        <v>1</v>
      </c>
      <c r="AF13" s="944">
        <v>1</v>
      </c>
      <c r="AG13" s="944">
        <v>1</v>
      </c>
      <c r="AH13" s="944">
        <v>1</v>
      </c>
      <c r="AI13" s="240"/>
      <c r="AJ13" s="943">
        <v>1</v>
      </c>
      <c r="AK13" s="943">
        <v>1</v>
      </c>
      <c r="AL13" s="943">
        <v>1</v>
      </c>
      <c r="AM13" s="943">
        <v>1</v>
      </c>
      <c r="AN13" s="944">
        <v>1</v>
      </c>
      <c r="AO13" s="944">
        <v>1</v>
      </c>
      <c r="AP13" s="944">
        <v>1</v>
      </c>
      <c r="AQ13" s="944">
        <v>1</v>
      </c>
      <c r="AR13" s="944">
        <v>1</v>
      </c>
      <c r="AS13" s="944">
        <v>1</v>
      </c>
      <c r="AT13" s="944">
        <v>1</v>
      </c>
      <c r="AU13" s="944">
        <v>1</v>
      </c>
      <c r="AV13" s="206"/>
      <c r="AX13" s="205"/>
      <c r="AY13" s="204"/>
    </row>
    <row r="14" spans="2:51" ht="14" thickBot="1">
      <c r="B14" s="214"/>
      <c r="C14" s="1253"/>
      <c r="D14" s="1254"/>
      <c r="E14" s="942" t="s">
        <v>558</v>
      </c>
      <c r="F14" s="1256"/>
      <c r="G14" s="1257"/>
      <c r="H14" s="231"/>
      <c r="I14" s="234" t="s">
        <v>75</v>
      </c>
      <c r="J14" s="238">
        <f t="shared" ref="J14:U14" si="9">J13*$F13/12/$P$3</f>
        <v>1.5</v>
      </c>
      <c r="K14" s="238">
        <f t="shared" si="9"/>
        <v>1.5</v>
      </c>
      <c r="L14" s="238">
        <f t="shared" si="9"/>
        <v>1.5</v>
      </c>
      <c r="M14" s="238">
        <f t="shared" si="9"/>
        <v>1.5</v>
      </c>
      <c r="N14" s="238">
        <f t="shared" si="9"/>
        <v>1.5</v>
      </c>
      <c r="O14" s="238">
        <f t="shared" si="9"/>
        <v>1.5</v>
      </c>
      <c r="P14" s="238">
        <f t="shared" si="9"/>
        <v>1.5</v>
      </c>
      <c r="Q14" s="238">
        <f t="shared" si="9"/>
        <v>1.5</v>
      </c>
      <c r="R14" s="238">
        <f t="shared" si="9"/>
        <v>1.5</v>
      </c>
      <c r="S14" s="238">
        <f t="shared" si="9"/>
        <v>1.5</v>
      </c>
      <c r="T14" s="238">
        <f t="shared" si="9"/>
        <v>1.5</v>
      </c>
      <c r="U14" s="238">
        <f t="shared" si="9"/>
        <v>1.5</v>
      </c>
      <c r="V14" s="268"/>
      <c r="W14" s="238">
        <f t="shared" ref="W14:AH14" si="10">W13*$F13/12/$P$3*(1+$AA$4)</f>
        <v>1.53</v>
      </c>
      <c r="X14" s="236">
        <f t="shared" si="10"/>
        <v>1.53</v>
      </c>
      <c r="Y14" s="236">
        <f t="shared" si="10"/>
        <v>1.53</v>
      </c>
      <c r="Z14" s="236">
        <f t="shared" si="10"/>
        <v>1.53</v>
      </c>
      <c r="AA14" s="236">
        <f t="shared" si="10"/>
        <v>1.53</v>
      </c>
      <c r="AB14" s="236">
        <f t="shared" si="10"/>
        <v>1.53</v>
      </c>
      <c r="AC14" s="236">
        <f t="shared" si="10"/>
        <v>1.53</v>
      </c>
      <c r="AD14" s="236">
        <f t="shared" si="10"/>
        <v>1.53</v>
      </c>
      <c r="AE14" s="236">
        <f t="shared" si="10"/>
        <v>1.53</v>
      </c>
      <c r="AF14" s="236">
        <f t="shared" si="10"/>
        <v>1.53</v>
      </c>
      <c r="AG14" s="236">
        <f t="shared" si="10"/>
        <v>1.53</v>
      </c>
      <c r="AH14" s="236">
        <f t="shared" si="10"/>
        <v>1.53</v>
      </c>
      <c r="AI14" s="940"/>
      <c r="AJ14" s="238">
        <f t="shared" ref="AJ14:AU14" si="11">AJ13*$F13/12/$P$3*(1+$AN$4)*(1+$AA$4)</f>
        <v>1.6065000000000003</v>
      </c>
      <c r="AK14" s="236">
        <f t="shared" si="11"/>
        <v>1.6065000000000003</v>
      </c>
      <c r="AL14" s="236">
        <f t="shared" si="11"/>
        <v>1.6065000000000003</v>
      </c>
      <c r="AM14" s="236">
        <f t="shared" si="11"/>
        <v>1.6065000000000003</v>
      </c>
      <c r="AN14" s="236">
        <f t="shared" si="11"/>
        <v>1.6065000000000003</v>
      </c>
      <c r="AO14" s="236">
        <f t="shared" si="11"/>
        <v>1.6065000000000003</v>
      </c>
      <c r="AP14" s="236">
        <f t="shared" si="11"/>
        <v>1.6065000000000003</v>
      </c>
      <c r="AQ14" s="236">
        <f t="shared" si="11"/>
        <v>1.6065000000000003</v>
      </c>
      <c r="AR14" s="236">
        <f t="shared" si="11"/>
        <v>1.6065000000000003</v>
      </c>
      <c r="AS14" s="236">
        <f t="shared" si="11"/>
        <v>1.6065000000000003</v>
      </c>
      <c r="AT14" s="236">
        <f t="shared" si="11"/>
        <v>1.6065000000000003</v>
      </c>
      <c r="AU14" s="236">
        <f t="shared" si="11"/>
        <v>1.6065000000000003</v>
      </c>
      <c r="AV14" s="206"/>
      <c r="AX14" s="205"/>
      <c r="AY14" s="204"/>
    </row>
    <row r="15" spans="2:51" ht="14" thickBot="1">
      <c r="B15" s="214"/>
      <c r="C15" s="1253">
        <v>5</v>
      </c>
      <c r="D15" s="1254" t="s">
        <v>296</v>
      </c>
      <c r="E15" s="1185"/>
      <c r="F15" s="1256">
        <v>0</v>
      </c>
      <c r="G15" s="1257">
        <v>0.22</v>
      </c>
      <c r="H15" s="229"/>
      <c r="I15" s="233" t="s">
        <v>249</v>
      </c>
      <c r="J15" s="943">
        <v>0</v>
      </c>
      <c r="K15" s="943">
        <v>0</v>
      </c>
      <c r="L15" s="943">
        <v>0</v>
      </c>
      <c r="M15" s="943">
        <v>0</v>
      </c>
      <c r="N15" s="944">
        <v>0</v>
      </c>
      <c r="O15" s="944">
        <v>0</v>
      </c>
      <c r="P15" s="944">
        <v>0</v>
      </c>
      <c r="Q15" s="944">
        <v>0</v>
      </c>
      <c r="R15" s="944">
        <v>0</v>
      </c>
      <c r="S15" s="944">
        <v>0</v>
      </c>
      <c r="T15" s="944">
        <v>0</v>
      </c>
      <c r="U15" s="944">
        <v>0</v>
      </c>
      <c r="V15" s="239"/>
      <c r="W15" s="943">
        <v>0</v>
      </c>
      <c r="X15" s="943">
        <v>0</v>
      </c>
      <c r="Y15" s="943">
        <v>0</v>
      </c>
      <c r="Z15" s="943">
        <v>0</v>
      </c>
      <c r="AA15" s="944">
        <v>0</v>
      </c>
      <c r="AB15" s="944">
        <v>0</v>
      </c>
      <c r="AC15" s="944">
        <v>0</v>
      </c>
      <c r="AD15" s="944">
        <v>0</v>
      </c>
      <c r="AE15" s="944">
        <v>0</v>
      </c>
      <c r="AF15" s="944">
        <v>0</v>
      </c>
      <c r="AG15" s="944">
        <v>0</v>
      </c>
      <c r="AH15" s="944">
        <v>0</v>
      </c>
      <c r="AI15" s="240"/>
      <c r="AJ15" s="943">
        <v>0</v>
      </c>
      <c r="AK15" s="943">
        <v>0</v>
      </c>
      <c r="AL15" s="943">
        <v>0</v>
      </c>
      <c r="AM15" s="943">
        <v>0</v>
      </c>
      <c r="AN15" s="944">
        <v>0</v>
      </c>
      <c r="AO15" s="944">
        <v>0</v>
      </c>
      <c r="AP15" s="944">
        <v>0</v>
      </c>
      <c r="AQ15" s="944">
        <v>0</v>
      </c>
      <c r="AR15" s="944">
        <v>0</v>
      </c>
      <c r="AS15" s="944">
        <v>0</v>
      </c>
      <c r="AT15" s="944">
        <v>0</v>
      </c>
      <c r="AU15" s="944">
        <v>0</v>
      </c>
      <c r="AV15" s="206"/>
      <c r="AX15" s="205"/>
      <c r="AY15" s="204"/>
    </row>
    <row r="16" spans="2:51" ht="14" thickBot="1">
      <c r="B16" s="214"/>
      <c r="C16" s="1253"/>
      <c r="D16" s="1254"/>
      <c r="E16" s="1184" t="s">
        <v>244</v>
      </c>
      <c r="F16" s="1256"/>
      <c r="G16" s="1257"/>
      <c r="H16" s="231"/>
      <c r="I16" s="234" t="s">
        <v>75</v>
      </c>
      <c r="J16" s="235">
        <f t="shared" ref="J16:U16" si="12">J15*$F15/12/$P$3</f>
        <v>0</v>
      </c>
      <c r="K16" s="235">
        <f t="shared" si="12"/>
        <v>0</v>
      </c>
      <c r="L16" s="235">
        <f t="shared" si="12"/>
        <v>0</v>
      </c>
      <c r="M16" s="235">
        <f t="shared" si="12"/>
        <v>0</v>
      </c>
      <c r="N16" s="236">
        <f t="shared" si="12"/>
        <v>0</v>
      </c>
      <c r="O16" s="236">
        <f t="shared" si="12"/>
        <v>0</v>
      </c>
      <c r="P16" s="236">
        <f t="shared" si="12"/>
        <v>0</v>
      </c>
      <c r="Q16" s="236">
        <f t="shared" si="12"/>
        <v>0</v>
      </c>
      <c r="R16" s="236">
        <f t="shared" si="12"/>
        <v>0</v>
      </c>
      <c r="S16" s="236">
        <f t="shared" si="12"/>
        <v>0</v>
      </c>
      <c r="T16" s="236">
        <f t="shared" si="12"/>
        <v>0</v>
      </c>
      <c r="U16" s="236">
        <f t="shared" si="12"/>
        <v>0</v>
      </c>
      <c r="V16" s="268"/>
      <c r="W16" s="238">
        <f t="shared" ref="W16:AH16" si="13">W15*$F15/12/$P$3*(1+$AA$4)</f>
        <v>0</v>
      </c>
      <c r="X16" s="236">
        <f t="shared" si="13"/>
        <v>0</v>
      </c>
      <c r="Y16" s="236">
        <f t="shared" si="13"/>
        <v>0</v>
      </c>
      <c r="Z16" s="236">
        <f t="shared" si="13"/>
        <v>0</v>
      </c>
      <c r="AA16" s="236">
        <f t="shared" si="13"/>
        <v>0</v>
      </c>
      <c r="AB16" s="236">
        <f t="shared" si="13"/>
        <v>0</v>
      </c>
      <c r="AC16" s="236">
        <f t="shared" si="13"/>
        <v>0</v>
      </c>
      <c r="AD16" s="236">
        <f t="shared" si="13"/>
        <v>0</v>
      </c>
      <c r="AE16" s="236">
        <f t="shared" si="13"/>
        <v>0</v>
      </c>
      <c r="AF16" s="236">
        <f t="shared" si="13"/>
        <v>0</v>
      </c>
      <c r="AG16" s="236">
        <f t="shared" si="13"/>
        <v>0</v>
      </c>
      <c r="AH16" s="236">
        <f t="shared" si="13"/>
        <v>0</v>
      </c>
      <c r="AI16" s="940"/>
      <c r="AJ16" s="238">
        <f t="shared" ref="AJ16:AU16" si="14">AJ15*$F15/12/$P$3*(1+$AN$4)*(1+$AA$4)</f>
        <v>0</v>
      </c>
      <c r="AK16" s="236">
        <f t="shared" si="14"/>
        <v>0</v>
      </c>
      <c r="AL16" s="236">
        <f t="shared" si="14"/>
        <v>0</v>
      </c>
      <c r="AM16" s="236">
        <f t="shared" si="14"/>
        <v>0</v>
      </c>
      <c r="AN16" s="236">
        <f t="shared" si="14"/>
        <v>0</v>
      </c>
      <c r="AO16" s="236">
        <f t="shared" si="14"/>
        <v>0</v>
      </c>
      <c r="AP16" s="236">
        <f t="shared" si="14"/>
        <v>0</v>
      </c>
      <c r="AQ16" s="236">
        <f t="shared" si="14"/>
        <v>0</v>
      </c>
      <c r="AR16" s="236">
        <f t="shared" si="14"/>
        <v>0</v>
      </c>
      <c r="AS16" s="236">
        <f t="shared" si="14"/>
        <v>0</v>
      </c>
      <c r="AT16" s="236">
        <f t="shared" si="14"/>
        <v>0</v>
      </c>
      <c r="AU16" s="236">
        <f t="shared" si="14"/>
        <v>0</v>
      </c>
      <c r="AV16" s="206"/>
      <c r="AX16" s="205"/>
      <c r="AY16" s="204"/>
    </row>
    <row r="17" spans="2:51" ht="14" thickBot="1">
      <c r="B17" s="214"/>
      <c r="C17" s="1253">
        <v>6</v>
      </c>
      <c r="D17" s="1254" t="s">
        <v>296</v>
      </c>
      <c r="E17" s="1185"/>
      <c r="F17" s="1256">
        <v>0</v>
      </c>
      <c r="G17" s="1257">
        <v>0.23</v>
      </c>
      <c r="H17" s="229"/>
      <c r="I17" s="233" t="s">
        <v>249</v>
      </c>
      <c r="J17" s="943">
        <v>0</v>
      </c>
      <c r="K17" s="943">
        <v>0</v>
      </c>
      <c r="L17" s="943">
        <v>0</v>
      </c>
      <c r="M17" s="943">
        <v>0</v>
      </c>
      <c r="N17" s="944">
        <v>0</v>
      </c>
      <c r="O17" s="944">
        <v>0</v>
      </c>
      <c r="P17" s="944">
        <v>0</v>
      </c>
      <c r="Q17" s="944">
        <v>0</v>
      </c>
      <c r="R17" s="944">
        <v>0</v>
      </c>
      <c r="S17" s="944">
        <v>0</v>
      </c>
      <c r="T17" s="944">
        <v>0</v>
      </c>
      <c r="U17" s="944">
        <v>0</v>
      </c>
      <c r="V17" s="239"/>
      <c r="W17" s="943">
        <v>0</v>
      </c>
      <c r="X17" s="943">
        <v>0</v>
      </c>
      <c r="Y17" s="943">
        <v>0</v>
      </c>
      <c r="Z17" s="943">
        <v>0</v>
      </c>
      <c r="AA17" s="944">
        <v>0</v>
      </c>
      <c r="AB17" s="944">
        <v>0</v>
      </c>
      <c r="AC17" s="944">
        <v>0</v>
      </c>
      <c r="AD17" s="944">
        <v>0</v>
      </c>
      <c r="AE17" s="944">
        <v>0</v>
      </c>
      <c r="AF17" s="944">
        <v>0</v>
      </c>
      <c r="AG17" s="944">
        <v>0</v>
      </c>
      <c r="AH17" s="944">
        <v>0</v>
      </c>
      <c r="AI17" s="240"/>
      <c r="AJ17" s="943">
        <v>0</v>
      </c>
      <c r="AK17" s="943">
        <v>0</v>
      </c>
      <c r="AL17" s="943">
        <v>0</v>
      </c>
      <c r="AM17" s="943">
        <v>0</v>
      </c>
      <c r="AN17" s="944">
        <v>0</v>
      </c>
      <c r="AO17" s="944">
        <v>0</v>
      </c>
      <c r="AP17" s="944">
        <v>0</v>
      </c>
      <c r="AQ17" s="944">
        <v>0</v>
      </c>
      <c r="AR17" s="944">
        <v>0</v>
      </c>
      <c r="AS17" s="944">
        <v>0</v>
      </c>
      <c r="AT17" s="944">
        <v>0</v>
      </c>
      <c r="AU17" s="944">
        <v>0</v>
      </c>
      <c r="AV17" s="206"/>
      <c r="AX17" s="205"/>
      <c r="AY17" s="204"/>
    </row>
    <row r="18" spans="2:51" ht="14" thickBot="1">
      <c r="B18" s="214"/>
      <c r="C18" s="1253"/>
      <c r="D18" s="1254"/>
      <c r="E18" s="1184" t="s">
        <v>244</v>
      </c>
      <c r="F18" s="1256"/>
      <c r="G18" s="1257"/>
      <c r="H18" s="231"/>
      <c r="I18" s="234" t="s">
        <v>75</v>
      </c>
      <c r="J18" s="235">
        <f t="shared" ref="J18:U18" si="15">J17*$F17/12/$P$3</f>
        <v>0</v>
      </c>
      <c r="K18" s="235">
        <f t="shared" si="15"/>
        <v>0</v>
      </c>
      <c r="L18" s="235">
        <f t="shared" si="15"/>
        <v>0</v>
      </c>
      <c r="M18" s="235">
        <f t="shared" si="15"/>
        <v>0</v>
      </c>
      <c r="N18" s="236">
        <f t="shared" si="15"/>
        <v>0</v>
      </c>
      <c r="O18" s="236">
        <f t="shared" si="15"/>
        <v>0</v>
      </c>
      <c r="P18" s="236">
        <f t="shared" si="15"/>
        <v>0</v>
      </c>
      <c r="Q18" s="236">
        <f t="shared" si="15"/>
        <v>0</v>
      </c>
      <c r="R18" s="236">
        <f t="shared" si="15"/>
        <v>0</v>
      </c>
      <c r="S18" s="236">
        <f t="shared" si="15"/>
        <v>0</v>
      </c>
      <c r="T18" s="236">
        <f t="shared" si="15"/>
        <v>0</v>
      </c>
      <c r="U18" s="236">
        <f t="shared" si="15"/>
        <v>0</v>
      </c>
      <c r="V18" s="268"/>
      <c r="W18" s="238">
        <f t="shared" ref="W18:AH18" si="16">W17*$F17/12/$P$3*(1+$AA$4)</f>
        <v>0</v>
      </c>
      <c r="X18" s="236">
        <f t="shared" si="16"/>
        <v>0</v>
      </c>
      <c r="Y18" s="236">
        <f t="shared" si="16"/>
        <v>0</v>
      </c>
      <c r="Z18" s="236">
        <f t="shared" si="16"/>
        <v>0</v>
      </c>
      <c r="AA18" s="236">
        <f t="shared" si="16"/>
        <v>0</v>
      </c>
      <c r="AB18" s="236">
        <f t="shared" si="16"/>
        <v>0</v>
      </c>
      <c r="AC18" s="236">
        <f t="shared" si="16"/>
        <v>0</v>
      </c>
      <c r="AD18" s="236">
        <f t="shared" si="16"/>
        <v>0</v>
      </c>
      <c r="AE18" s="236">
        <f t="shared" si="16"/>
        <v>0</v>
      </c>
      <c r="AF18" s="236">
        <f t="shared" si="16"/>
        <v>0</v>
      </c>
      <c r="AG18" s="236">
        <f t="shared" si="16"/>
        <v>0</v>
      </c>
      <c r="AH18" s="236">
        <f t="shared" si="16"/>
        <v>0</v>
      </c>
      <c r="AI18" s="941"/>
      <c r="AJ18" s="238">
        <f t="shared" ref="AJ18:AU18" si="17">AJ17*$F17/12/$P$3*(1+$AN$4)*(1+$AA$4)</f>
        <v>0</v>
      </c>
      <c r="AK18" s="236">
        <f t="shared" si="17"/>
        <v>0</v>
      </c>
      <c r="AL18" s="236">
        <f t="shared" si="17"/>
        <v>0</v>
      </c>
      <c r="AM18" s="236">
        <f t="shared" si="17"/>
        <v>0</v>
      </c>
      <c r="AN18" s="236">
        <f t="shared" si="17"/>
        <v>0</v>
      </c>
      <c r="AO18" s="236">
        <f t="shared" si="17"/>
        <v>0</v>
      </c>
      <c r="AP18" s="236">
        <f t="shared" si="17"/>
        <v>0</v>
      </c>
      <c r="AQ18" s="236">
        <f t="shared" si="17"/>
        <v>0</v>
      </c>
      <c r="AR18" s="236">
        <f t="shared" si="17"/>
        <v>0</v>
      </c>
      <c r="AS18" s="236">
        <f t="shared" si="17"/>
        <v>0</v>
      </c>
      <c r="AT18" s="236">
        <f t="shared" si="17"/>
        <v>0</v>
      </c>
      <c r="AU18" s="236">
        <f t="shared" si="17"/>
        <v>0</v>
      </c>
      <c r="AV18" s="206"/>
      <c r="AX18" s="205"/>
      <c r="AY18" s="205"/>
    </row>
    <row r="19" spans="2:51" ht="14" thickBot="1">
      <c r="B19" s="214"/>
      <c r="C19" s="1253">
        <v>7</v>
      </c>
      <c r="D19" s="1254" t="s">
        <v>296</v>
      </c>
      <c r="E19" s="1185"/>
      <c r="F19" s="1256">
        <v>0</v>
      </c>
      <c r="G19" s="1257">
        <v>0.21</v>
      </c>
      <c r="H19" s="229"/>
      <c r="I19" s="233" t="s">
        <v>249</v>
      </c>
      <c r="J19" s="943">
        <v>0</v>
      </c>
      <c r="K19" s="943">
        <v>0</v>
      </c>
      <c r="L19" s="943">
        <v>0</v>
      </c>
      <c r="M19" s="943">
        <v>0</v>
      </c>
      <c r="N19" s="944">
        <v>0</v>
      </c>
      <c r="O19" s="944">
        <v>0</v>
      </c>
      <c r="P19" s="944">
        <v>0</v>
      </c>
      <c r="Q19" s="944">
        <v>0</v>
      </c>
      <c r="R19" s="944">
        <v>0</v>
      </c>
      <c r="S19" s="944">
        <v>0</v>
      </c>
      <c r="T19" s="944">
        <v>0</v>
      </c>
      <c r="U19" s="944">
        <v>0</v>
      </c>
      <c r="V19" s="939"/>
      <c r="W19" s="943">
        <v>0</v>
      </c>
      <c r="X19" s="943">
        <v>0</v>
      </c>
      <c r="Y19" s="943">
        <v>0</v>
      </c>
      <c r="Z19" s="943">
        <v>0</v>
      </c>
      <c r="AA19" s="944">
        <v>0</v>
      </c>
      <c r="AB19" s="944">
        <v>0</v>
      </c>
      <c r="AC19" s="944">
        <v>0</v>
      </c>
      <c r="AD19" s="944">
        <v>0</v>
      </c>
      <c r="AE19" s="944">
        <v>0</v>
      </c>
      <c r="AF19" s="944">
        <v>0</v>
      </c>
      <c r="AG19" s="944">
        <v>0</v>
      </c>
      <c r="AH19" s="944">
        <v>0</v>
      </c>
      <c r="AI19" s="940"/>
      <c r="AJ19" s="943">
        <v>0</v>
      </c>
      <c r="AK19" s="943">
        <v>0</v>
      </c>
      <c r="AL19" s="943">
        <v>0</v>
      </c>
      <c r="AM19" s="943">
        <v>0</v>
      </c>
      <c r="AN19" s="944">
        <v>0</v>
      </c>
      <c r="AO19" s="944">
        <v>0</v>
      </c>
      <c r="AP19" s="944">
        <v>0</v>
      </c>
      <c r="AQ19" s="944">
        <v>0</v>
      </c>
      <c r="AR19" s="944">
        <v>0</v>
      </c>
      <c r="AS19" s="944">
        <v>0</v>
      </c>
      <c r="AT19" s="944">
        <v>0</v>
      </c>
      <c r="AU19" s="944">
        <v>0</v>
      </c>
      <c r="AV19" s="206"/>
      <c r="AX19" s="205"/>
    </row>
    <row r="20" spans="2:51" ht="14" thickBot="1">
      <c r="B20" s="214"/>
      <c r="C20" s="1253"/>
      <c r="D20" s="1254"/>
      <c r="E20" s="1184" t="s">
        <v>244</v>
      </c>
      <c r="F20" s="1256"/>
      <c r="G20" s="1257"/>
      <c r="H20" s="231"/>
      <c r="I20" s="234" t="s">
        <v>75</v>
      </c>
      <c r="J20" s="235">
        <f t="shared" ref="J20:U20" si="18">J19*$F19/12/$P$3</f>
        <v>0</v>
      </c>
      <c r="K20" s="235">
        <f t="shared" si="18"/>
        <v>0</v>
      </c>
      <c r="L20" s="235">
        <f t="shared" si="18"/>
        <v>0</v>
      </c>
      <c r="M20" s="235">
        <f t="shared" si="18"/>
        <v>0</v>
      </c>
      <c r="N20" s="236">
        <f t="shared" si="18"/>
        <v>0</v>
      </c>
      <c r="O20" s="236">
        <f t="shared" si="18"/>
        <v>0</v>
      </c>
      <c r="P20" s="236">
        <f t="shared" si="18"/>
        <v>0</v>
      </c>
      <c r="Q20" s="236">
        <f t="shared" si="18"/>
        <v>0</v>
      </c>
      <c r="R20" s="236">
        <f t="shared" si="18"/>
        <v>0</v>
      </c>
      <c r="S20" s="236">
        <f t="shared" si="18"/>
        <v>0</v>
      </c>
      <c r="T20" s="236">
        <f t="shared" si="18"/>
        <v>0</v>
      </c>
      <c r="U20" s="236">
        <f t="shared" si="18"/>
        <v>0</v>
      </c>
      <c r="V20" s="239"/>
      <c r="W20" s="238">
        <f t="shared" ref="W20:AH20" si="19">W19*$F19/12/$P$3*(1+$AA$4)</f>
        <v>0</v>
      </c>
      <c r="X20" s="236">
        <f t="shared" si="19"/>
        <v>0</v>
      </c>
      <c r="Y20" s="236">
        <f t="shared" si="19"/>
        <v>0</v>
      </c>
      <c r="Z20" s="236">
        <f t="shared" si="19"/>
        <v>0</v>
      </c>
      <c r="AA20" s="236">
        <f t="shared" si="19"/>
        <v>0</v>
      </c>
      <c r="AB20" s="236">
        <f t="shared" si="19"/>
        <v>0</v>
      </c>
      <c r="AC20" s="236">
        <f t="shared" si="19"/>
        <v>0</v>
      </c>
      <c r="AD20" s="236">
        <f t="shared" si="19"/>
        <v>0</v>
      </c>
      <c r="AE20" s="236">
        <f t="shared" si="19"/>
        <v>0</v>
      </c>
      <c r="AF20" s="236">
        <f t="shared" si="19"/>
        <v>0</v>
      </c>
      <c r="AG20" s="236">
        <f t="shared" si="19"/>
        <v>0</v>
      </c>
      <c r="AH20" s="236">
        <f t="shared" si="19"/>
        <v>0</v>
      </c>
      <c r="AI20" s="240"/>
      <c r="AJ20" s="238">
        <f t="shared" ref="AJ20:AU20" si="20">AJ19*$F19/12/$P$3*(1+$AN$4)*(1+$AA$4)</f>
        <v>0</v>
      </c>
      <c r="AK20" s="236">
        <f t="shared" si="20"/>
        <v>0</v>
      </c>
      <c r="AL20" s="236">
        <f t="shared" si="20"/>
        <v>0</v>
      </c>
      <c r="AM20" s="236">
        <f t="shared" si="20"/>
        <v>0</v>
      </c>
      <c r="AN20" s="236">
        <f t="shared" si="20"/>
        <v>0</v>
      </c>
      <c r="AO20" s="236">
        <f t="shared" si="20"/>
        <v>0</v>
      </c>
      <c r="AP20" s="236">
        <f t="shared" si="20"/>
        <v>0</v>
      </c>
      <c r="AQ20" s="236">
        <f t="shared" si="20"/>
        <v>0</v>
      </c>
      <c r="AR20" s="236">
        <f t="shared" si="20"/>
        <v>0</v>
      </c>
      <c r="AS20" s="236">
        <f t="shared" si="20"/>
        <v>0</v>
      </c>
      <c r="AT20" s="236">
        <f t="shared" si="20"/>
        <v>0</v>
      </c>
      <c r="AU20" s="236">
        <f t="shared" si="20"/>
        <v>0</v>
      </c>
      <c r="AV20" s="206"/>
      <c r="AX20" s="608"/>
    </row>
    <row r="21" spans="2:51" ht="14" thickBot="1">
      <c r="B21" s="214"/>
      <c r="C21" s="1253">
        <v>8</v>
      </c>
      <c r="D21" s="1254" t="s">
        <v>296</v>
      </c>
      <c r="E21" s="1185"/>
      <c r="F21" s="1256">
        <v>0</v>
      </c>
      <c r="G21" s="1257">
        <v>0.23</v>
      </c>
      <c r="H21" s="229"/>
      <c r="I21" s="233" t="s">
        <v>249</v>
      </c>
      <c r="J21" s="943">
        <v>0</v>
      </c>
      <c r="K21" s="943">
        <v>0</v>
      </c>
      <c r="L21" s="943">
        <v>0</v>
      </c>
      <c r="M21" s="943">
        <v>0</v>
      </c>
      <c r="N21" s="944">
        <v>0</v>
      </c>
      <c r="O21" s="944">
        <v>0</v>
      </c>
      <c r="P21" s="944">
        <v>0</v>
      </c>
      <c r="Q21" s="944">
        <v>0</v>
      </c>
      <c r="R21" s="944">
        <v>0</v>
      </c>
      <c r="S21" s="944">
        <v>0</v>
      </c>
      <c r="T21" s="944">
        <v>0</v>
      </c>
      <c r="U21" s="944">
        <v>0</v>
      </c>
      <c r="V21" s="939"/>
      <c r="W21" s="943">
        <v>0</v>
      </c>
      <c r="X21" s="943">
        <v>0</v>
      </c>
      <c r="Y21" s="943">
        <v>0</v>
      </c>
      <c r="Z21" s="943">
        <v>0</v>
      </c>
      <c r="AA21" s="944">
        <v>0</v>
      </c>
      <c r="AB21" s="944">
        <v>0</v>
      </c>
      <c r="AC21" s="944">
        <v>0</v>
      </c>
      <c r="AD21" s="944">
        <v>0</v>
      </c>
      <c r="AE21" s="944">
        <v>0</v>
      </c>
      <c r="AF21" s="944">
        <v>0</v>
      </c>
      <c r="AG21" s="944">
        <v>0</v>
      </c>
      <c r="AH21" s="944">
        <v>0</v>
      </c>
      <c r="AI21" s="940"/>
      <c r="AJ21" s="943">
        <v>0</v>
      </c>
      <c r="AK21" s="943">
        <v>0</v>
      </c>
      <c r="AL21" s="943">
        <v>0</v>
      </c>
      <c r="AM21" s="943">
        <v>0</v>
      </c>
      <c r="AN21" s="944">
        <v>0</v>
      </c>
      <c r="AO21" s="944">
        <v>0</v>
      </c>
      <c r="AP21" s="944">
        <v>0</v>
      </c>
      <c r="AQ21" s="944">
        <v>0</v>
      </c>
      <c r="AR21" s="944">
        <v>0</v>
      </c>
      <c r="AS21" s="944">
        <v>0</v>
      </c>
      <c r="AT21" s="944">
        <v>0</v>
      </c>
      <c r="AU21" s="944">
        <v>0</v>
      </c>
      <c r="AV21" s="206"/>
      <c r="AX21" s="205"/>
    </row>
    <row r="22" spans="2:51" ht="14" thickBot="1">
      <c r="B22" s="214"/>
      <c r="C22" s="1253"/>
      <c r="D22" s="1254"/>
      <c r="E22" s="1184" t="s">
        <v>244</v>
      </c>
      <c r="F22" s="1256"/>
      <c r="G22" s="1257"/>
      <c r="H22" s="231"/>
      <c r="I22" s="234" t="s">
        <v>75</v>
      </c>
      <c r="J22" s="235">
        <f t="shared" ref="J22:U22" si="21">J21*$F21/12/$P$3</f>
        <v>0</v>
      </c>
      <c r="K22" s="235">
        <f t="shared" si="21"/>
        <v>0</v>
      </c>
      <c r="L22" s="235">
        <f t="shared" si="21"/>
        <v>0</v>
      </c>
      <c r="M22" s="235">
        <f t="shared" si="21"/>
        <v>0</v>
      </c>
      <c r="N22" s="236">
        <f t="shared" si="21"/>
        <v>0</v>
      </c>
      <c r="O22" s="236">
        <f t="shared" si="21"/>
        <v>0</v>
      </c>
      <c r="P22" s="236">
        <f t="shared" si="21"/>
        <v>0</v>
      </c>
      <c r="Q22" s="236">
        <f t="shared" si="21"/>
        <v>0</v>
      </c>
      <c r="R22" s="236">
        <f t="shared" si="21"/>
        <v>0</v>
      </c>
      <c r="S22" s="236">
        <f t="shared" si="21"/>
        <v>0</v>
      </c>
      <c r="T22" s="236">
        <f t="shared" si="21"/>
        <v>0</v>
      </c>
      <c r="U22" s="236">
        <f t="shared" si="21"/>
        <v>0</v>
      </c>
      <c r="V22" s="239"/>
      <c r="W22" s="238">
        <f t="shared" ref="W22:AH22" si="22">W21*$F21/12/$P$3*(1+$AA$4)</f>
        <v>0</v>
      </c>
      <c r="X22" s="236">
        <f t="shared" si="22"/>
        <v>0</v>
      </c>
      <c r="Y22" s="236">
        <f t="shared" si="22"/>
        <v>0</v>
      </c>
      <c r="Z22" s="236">
        <f t="shared" si="22"/>
        <v>0</v>
      </c>
      <c r="AA22" s="236">
        <f t="shared" si="22"/>
        <v>0</v>
      </c>
      <c r="AB22" s="236">
        <f t="shared" si="22"/>
        <v>0</v>
      </c>
      <c r="AC22" s="236">
        <f t="shared" si="22"/>
        <v>0</v>
      </c>
      <c r="AD22" s="236">
        <f t="shared" si="22"/>
        <v>0</v>
      </c>
      <c r="AE22" s="236">
        <f t="shared" si="22"/>
        <v>0</v>
      </c>
      <c r="AF22" s="236">
        <f t="shared" si="22"/>
        <v>0</v>
      </c>
      <c r="AG22" s="236">
        <f t="shared" si="22"/>
        <v>0</v>
      </c>
      <c r="AH22" s="236">
        <f t="shared" si="22"/>
        <v>0</v>
      </c>
      <c r="AI22" s="240"/>
      <c r="AJ22" s="238">
        <f t="shared" ref="AJ22:AU22" si="23">AJ21*$F21/12/$P$3*(1+$AN$4)*(1+$AA$4)</f>
        <v>0</v>
      </c>
      <c r="AK22" s="236">
        <f t="shared" si="23"/>
        <v>0</v>
      </c>
      <c r="AL22" s="236">
        <f t="shared" si="23"/>
        <v>0</v>
      </c>
      <c r="AM22" s="236">
        <f t="shared" si="23"/>
        <v>0</v>
      </c>
      <c r="AN22" s="236">
        <f t="shared" si="23"/>
        <v>0</v>
      </c>
      <c r="AO22" s="236">
        <f t="shared" si="23"/>
        <v>0</v>
      </c>
      <c r="AP22" s="236">
        <f t="shared" si="23"/>
        <v>0</v>
      </c>
      <c r="AQ22" s="236">
        <f t="shared" si="23"/>
        <v>0</v>
      </c>
      <c r="AR22" s="236">
        <f t="shared" si="23"/>
        <v>0</v>
      </c>
      <c r="AS22" s="236">
        <f t="shared" si="23"/>
        <v>0</v>
      </c>
      <c r="AT22" s="236">
        <f t="shared" si="23"/>
        <v>0</v>
      </c>
      <c r="AU22" s="236">
        <f t="shared" si="23"/>
        <v>0</v>
      </c>
      <c r="AV22" s="206"/>
    </row>
    <row r="23" spans="2:51" ht="14" thickBot="1">
      <c r="B23" s="214"/>
      <c r="C23" s="1253">
        <v>9</v>
      </c>
      <c r="D23" s="1254" t="s">
        <v>296</v>
      </c>
      <c r="E23" s="1185"/>
      <c r="F23" s="1256">
        <v>0</v>
      </c>
      <c r="G23" s="1257">
        <v>0.22</v>
      </c>
      <c r="H23" s="229"/>
      <c r="I23" s="233" t="s">
        <v>249</v>
      </c>
      <c r="J23" s="943">
        <v>0</v>
      </c>
      <c r="K23" s="943">
        <v>0</v>
      </c>
      <c r="L23" s="943">
        <v>0</v>
      </c>
      <c r="M23" s="943">
        <v>0</v>
      </c>
      <c r="N23" s="944">
        <v>0</v>
      </c>
      <c r="O23" s="944">
        <v>0</v>
      </c>
      <c r="P23" s="944">
        <v>0</v>
      </c>
      <c r="Q23" s="944">
        <v>0</v>
      </c>
      <c r="R23" s="944">
        <v>0</v>
      </c>
      <c r="S23" s="944">
        <v>0</v>
      </c>
      <c r="T23" s="944">
        <v>0</v>
      </c>
      <c r="U23" s="944">
        <v>1</v>
      </c>
      <c r="V23" s="939"/>
      <c r="W23" s="943">
        <v>0</v>
      </c>
      <c r="X23" s="943">
        <v>0</v>
      </c>
      <c r="Y23" s="943">
        <v>0</v>
      </c>
      <c r="Z23" s="943">
        <v>0</v>
      </c>
      <c r="AA23" s="944">
        <v>0</v>
      </c>
      <c r="AB23" s="944">
        <v>0</v>
      </c>
      <c r="AC23" s="944">
        <v>0</v>
      </c>
      <c r="AD23" s="944">
        <v>0</v>
      </c>
      <c r="AE23" s="944">
        <v>0</v>
      </c>
      <c r="AF23" s="944">
        <v>0</v>
      </c>
      <c r="AG23" s="944">
        <v>0</v>
      </c>
      <c r="AH23" s="944">
        <v>0</v>
      </c>
      <c r="AI23" s="940"/>
      <c r="AJ23" s="943">
        <v>0</v>
      </c>
      <c r="AK23" s="943">
        <v>0</v>
      </c>
      <c r="AL23" s="943">
        <v>0</v>
      </c>
      <c r="AM23" s="943">
        <v>0</v>
      </c>
      <c r="AN23" s="944">
        <v>0</v>
      </c>
      <c r="AO23" s="944">
        <v>0</v>
      </c>
      <c r="AP23" s="944">
        <v>0</v>
      </c>
      <c r="AQ23" s="944">
        <v>0</v>
      </c>
      <c r="AR23" s="944">
        <v>0</v>
      </c>
      <c r="AS23" s="944">
        <v>0</v>
      </c>
      <c r="AT23" s="944">
        <v>0</v>
      </c>
      <c r="AU23" s="944">
        <v>0</v>
      </c>
      <c r="AV23" s="206"/>
    </row>
    <row r="24" spans="2:51" ht="14" thickBot="1">
      <c r="B24" s="214"/>
      <c r="C24" s="1253"/>
      <c r="D24" s="1254"/>
      <c r="E24" s="1184" t="s">
        <v>244</v>
      </c>
      <c r="F24" s="1256"/>
      <c r="G24" s="1257"/>
      <c r="H24" s="231"/>
      <c r="I24" s="234" t="s">
        <v>75</v>
      </c>
      <c r="J24" s="235">
        <f t="shared" ref="J24:U24" si="24">J23*$F23/12/$P$3</f>
        <v>0</v>
      </c>
      <c r="K24" s="235">
        <f t="shared" si="24"/>
        <v>0</v>
      </c>
      <c r="L24" s="235">
        <f t="shared" si="24"/>
        <v>0</v>
      </c>
      <c r="M24" s="235">
        <f t="shared" si="24"/>
        <v>0</v>
      </c>
      <c r="N24" s="236">
        <f t="shared" si="24"/>
        <v>0</v>
      </c>
      <c r="O24" s="236">
        <f t="shared" si="24"/>
        <v>0</v>
      </c>
      <c r="P24" s="236">
        <f t="shared" si="24"/>
        <v>0</v>
      </c>
      <c r="Q24" s="236">
        <f t="shared" si="24"/>
        <v>0</v>
      </c>
      <c r="R24" s="236">
        <f t="shared" si="24"/>
        <v>0</v>
      </c>
      <c r="S24" s="236">
        <f t="shared" si="24"/>
        <v>0</v>
      </c>
      <c r="T24" s="236">
        <f t="shared" si="24"/>
        <v>0</v>
      </c>
      <c r="U24" s="236">
        <f t="shared" si="24"/>
        <v>0</v>
      </c>
      <c r="V24" s="239"/>
      <c r="W24" s="238">
        <f t="shared" ref="W24:AH24" si="25">W23*$F23/12/$P$3</f>
        <v>0</v>
      </c>
      <c r="X24" s="236">
        <f t="shared" si="25"/>
        <v>0</v>
      </c>
      <c r="Y24" s="236">
        <f t="shared" si="25"/>
        <v>0</v>
      </c>
      <c r="Z24" s="236">
        <f t="shared" si="25"/>
        <v>0</v>
      </c>
      <c r="AA24" s="236">
        <f t="shared" si="25"/>
        <v>0</v>
      </c>
      <c r="AB24" s="236">
        <f t="shared" si="25"/>
        <v>0</v>
      </c>
      <c r="AC24" s="236">
        <f t="shared" si="25"/>
        <v>0</v>
      </c>
      <c r="AD24" s="236">
        <f t="shared" si="25"/>
        <v>0</v>
      </c>
      <c r="AE24" s="236">
        <f t="shared" si="25"/>
        <v>0</v>
      </c>
      <c r="AF24" s="236">
        <f t="shared" si="25"/>
        <v>0</v>
      </c>
      <c r="AG24" s="236">
        <f t="shared" si="25"/>
        <v>0</v>
      </c>
      <c r="AH24" s="236">
        <f t="shared" si="25"/>
        <v>0</v>
      </c>
      <c r="AI24" s="240"/>
      <c r="AJ24" s="238">
        <f t="shared" ref="AJ24:AU24" si="26">AJ23*$F23/12/$P$3*(1+$AN$4)*(1+$AA$4)</f>
        <v>0</v>
      </c>
      <c r="AK24" s="236">
        <f t="shared" si="26"/>
        <v>0</v>
      </c>
      <c r="AL24" s="236">
        <f t="shared" si="26"/>
        <v>0</v>
      </c>
      <c r="AM24" s="236">
        <f t="shared" si="26"/>
        <v>0</v>
      </c>
      <c r="AN24" s="236">
        <f t="shared" si="26"/>
        <v>0</v>
      </c>
      <c r="AO24" s="236">
        <f t="shared" si="26"/>
        <v>0</v>
      </c>
      <c r="AP24" s="236">
        <f t="shared" si="26"/>
        <v>0</v>
      </c>
      <c r="AQ24" s="236">
        <f t="shared" si="26"/>
        <v>0</v>
      </c>
      <c r="AR24" s="236">
        <f t="shared" si="26"/>
        <v>0</v>
      </c>
      <c r="AS24" s="236">
        <f t="shared" si="26"/>
        <v>0</v>
      </c>
      <c r="AT24" s="236">
        <f t="shared" si="26"/>
        <v>0</v>
      </c>
      <c r="AU24" s="236">
        <f t="shared" si="26"/>
        <v>0</v>
      </c>
      <c r="AV24" s="206"/>
    </row>
    <row r="25" spans="2:51" ht="14" thickBot="1">
      <c r="B25" s="214"/>
      <c r="C25" s="1253">
        <v>10</v>
      </c>
      <c r="D25" s="1254" t="s">
        <v>296</v>
      </c>
      <c r="E25" s="1185"/>
      <c r="F25" s="1256">
        <v>0</v>
      </c>
      <c r="G25" s="1257">
        <v>0.2</v>
      </c>
      <c r="H25" s="229"/>
      <c r="I25" s="233" t="s">
        <v>249</v>
      </c>
      <c r="J25" s="943">
        <v>0</v>
      </c>
      <c r="K25" s="943">
        <v>0</v>
      </c>
      <c r="L25" s="943">
        <v>0</v>
      </c>
      <c r="M25" s="943">
        <v>0</v>
      </c>
      <c r="N25" s="944">
        <v>0</v>
      </c>
      <c r="O25" s="944">
        <v>0</v>
      </c>
      <c r="P25" s="944">
        <v>0</v>
      </c>
      <c r="Q25" s="944">
        <v>0</v>
      </c>
      <c r="R25" s="944">
        <v>0</v>
      </c>
      <c r="S25" s="944">
        <v>0</v>
      </c>
      <c r="T25" s="944">
        <v>0</v>
      </c>
      <c r="U25" s="944">
        <v>1</v>
      </c>
      <c r="V25" s="939"/>
      <c r="W25" s="943">
        <v>0</v>
      </c>
      <c r="X25" s="943">
        <v>0</v>
      </c>
      <c r="Y25" s="943">
        <v>0</v>
      </c>
      <c r="Z25" s="943">
        <v>0</v>
      </c>
      <c r="AA25" s="944">
        <v>0</v>
      </c>
      <c r="AB25" s="944">
        <v>0</v>
      </c>
      <c r="AC25" s="944">
        <v>0</v>
      </c>
      <c r="AD25" s="944">
        <v>0</v>
      </c>
      <c r="AE25" s="944">
        <v>0</v>
      </c>
      <c r="AF25" s="944">
        <v>0</v>
      </c>
      <c r="AG25" s="944">
        <v>0</v>
      </c>
      <c r="AH25" s="944">
        <v>0</v>
      </c>
      <c r="AI25" s="940"/>
      <c r="AJ25" s="943">
        <v>0</v>
      </c>
      <c r="AK25" s="943">
        <v>0</v>
      </c>
      <c r="AL25" s="943">
        <v>0</v>
      </c>
      <c r="AM25" s="943">
        <v>0</v>
      </c>
      <c r="AN25" s="944">
        <v>0</v>
      </c>
      <c r="AO25" s="944">
        <v>0</v>
      </c>
      <c r="AP25" s="944">
        <v>0</v>
      </c>
      <c r="AQ25" s="944">
        <v>0</v>
      </c>
      <c r="AR25" s="944">
        <v>0</v>
      </c>
      <c r="AS25" s="944">
        <v>0</v>
      </c>
      <c r="AT25" s="944">
        <v>0</v>
      </c>
      <c r="AU25" s="944">
        <v>0</v>
      </c>
      <c r="AV25" s="206"/>
    </row>
    <row r="26" spans="2:51" ht="14" thickBot="1">
      <c r="B26" s="214"/>
      <c r="C26" s="1253"/>
      <c r="D26" s="1254"/>
      <c r="E26" s="1184" t="s">
        <v>244</v>
      </c>
      <c r="F26" s="1256"/>
      <c r="G26" s="1257"/>
      <c r="H26" s="231"/>
      <c r="I26" s="234" t="s">
        <v>75</v>
      </c>
      <c r="J26" s="235">
        <f t="shared" ref="J26:U26" si="27">J25*$F25/12/$P$3</f>
        <v>0</v>
      </c>
      <c r="K26" s="235">
        <f t="shared" si="27"/>
        <v>0</v>
      </c>
      <c r="L26" s="235">
        <f t="shared" si="27"/>
        <v>0</v>
      </c>
      <c r="M26" s="235">
        <f t="shared" si="27"/>
        <v>0</v>
      </c>
      <c r="N26" s="236">
        <f t="shared" si="27"/>
        <v>0</v>
      </c>
      <c r="O26" s="236">
        <f t="shared" si="27"/>
        <v>0</v>
      </c>
      <c r="P26" s="236">
        <f t="shared" si="27"/>
        <v>0</v>
      </c>
      <c r="Q26" s="236">
        <f t="shared" si="27"/>
        <v>0</v>
      </c>
      <c r="R26" s="236">
        <f t="shared" si="27"/>
        <v>0</v>
      </c>
      <c r="S26" s="236">
        <f t="shared" si="27"/>
        <v>0</v>
      </c>
      <c r="T26" s="236">
        <f t="shared" si="27"/>
        <v>0</v>
      </c>
      <c r="U26" s="236">
        <f t="shared" si="27"/>
        <v>0</v>
      </c>
      <c r="V26" s="239"/>
      <c r="W26" s="238">
        <f t="shared" ref="W26:AH26" si="28">W25*$F25/12/$P$3*(1+$AA$4)</f>
        <v>0</v>
      </c>
      <c r="X26" s="236">
        <f t="shared" si="28"/>
        <v>0</v>
      </c>
      <c r="Y26" s="236">
        <f t="shared" si="28"/>
        <v>0</v>
      </c>
      <c r="Z26" s="236">
        <f t="shared" si="28"/>
        <v>0</v>
      </c>
      <c r="AA26" s="236">
        <f t="shared" si="28"/>
        <v>0</v>
      </c>
      <c r="AB26" s="236">
        <f t="shared" si="28"/>
        <v>0</v>
      </c>
      <c r="AC26" s="236">
        <f t="shared" si="28"/>
        <v>0</v>
      </c>
      <c r="AD26" s="236">
        <f t="shared" si="28"/>
        <v>0</v>
      </c>
      <c r="AE26" s="236">
        <f t="shared" si="28"/>
        <v>0</v>
      </c>
      <c r="AF26" s="236">
        <f t="shared" si="28"/>
        <v>0</v>
      </c>
      <c r="AG26" s="236">
        <f t="shared" si="28"/>
        <v>0</v>
      </c>
      <c r="AH26" s="236">
        <f t="shared" si="28"/>
        <v>0</v>
      </c>
      <c r="AI26" s="240"/>
      <c r="AJ26" s="238">
        <f t="shared" ref="AJ26:AU26" si="29">AJ25*$F25/12/$P$3*(1+$AN$4)*(1+$AA$4)</f>
        <v>0</v>
      </c>
      <c r="AK26" s="236">
        <f t="shared" si="29"/>
        <v>0</v>
      </c>
      <c r="AL26" s="236">
        <f t="shared" si="29"/>
        <v>0</v>
      </c>
      <c r="AM26" s="236">
        <f t="shared" si="29"/>
        <v>0</v>
      </c>
      <c r="AN26" s="236">
        <f t="shared" si="29"/>
        <v>0</v>
      </c>
      <c r="AO26" s="236">
        <f t="shared" si="29"/>
        <v>0</v>
      </c>
      <c r="AP26" s="236">
        <f t="shared" si="29"/>
        <v>0</v>
      </c>
      <c r="AQ26" s="236">
        <f t="shared" si="29"/>
        <v>0</v>
      </c>
      <c r="AR26" s="236">
        <f t="shared" si="29"/>
        <v>0</v>
      </c>
      <c r="AS26" s="236">
        <f t="shared" si="29"/>
        <v>0</v>
      </c>
      <c r="AT26" s="236">
        <f t="shared" si="29"/>
        <v>0</v>
      </c>
      <c r="AU26" s="236">
        <f t="shared" si="29"/>
        <v>0</v>
      </c>
      <c r="AV26" s="206"/>
    </row>
    <row r="27" spans="2:51" ht="14" thickBot="1">
      <c r="B27" s="214"/>
      <c r="C27" s="1253">
        <v>11</v>
      </c>
      <c r="D27" s="1254" t="s">
        <v>296</v>
      </c>
      <c r="E27" s="1185"/>
      <c r="F27" s="1256">
        <v>0</v>
      </c>
      <c r="G27" s="1257">
        <v>0.23</v>
      </c>
      <c r="H27" s="229"/>
      <c r="I27" s="233" t="s">
        <v>249</v>
      </c>
      <c r="J27" s="943">
        <v>0</v>
      </c>
      <c r="K27" s="943">
        <v>0</v>
      </c>
      <c r="L27" s="943">
        <v>0</v>
      </c>
      <c r="M27" s="943">
        <v>0</v>
      </c>
      <c r="N27" s="944">
        <v>0</v>
      </c>
      <c r="O27" s="944">
        <v>0</v>
      </c>
      <c r="P27" s="944">
        <v>0</v>
      </c>
      <c r="Q27" s="944">
        <v>0</v>
      </c>
      <c r="R27" s="944">
        <v>0</v>
      </c>
      <c r="S27" s="944">
        <v>0</v>
      </c>
      <c r="T27" s="944">
        <v>0</v>
      </c>
      <c r="U27" s="944">
        <v>0</v>
      </c>
      <c r="V27" s="239"/>
      <c r="W27" s="943">
        <v>0</v>
      </c>
      <c r="X27" s="943">
        <v>0</v>
      </c>
      <c r="Y27" s="943">
        <v>0</v>
      </c>
      <c r="Z27" s="943">
        <v>0</v>
      </c>
      <c r="AA27" s="944">
        <v>0</v>
      </c>
      <c r="AB27" s="944">
        <v>0</v>
      </c>
      <c r="AC27" s="944">
        <v>0</v>
      </c>
      <c r="AD27" s="944">
        <v>0</v>
      </c>
      <c r="AE27" s="944">
        <v>0</v>
      </c>
      <c r="AF27" s="944">
        <v>0</v>
      </c>
      <c r="AG27" s="944">
        <v>0</v>
      </c>
      <c r="AH27" s="944">
        <v>0</v>
      </c>
      <c r="AI27" s="239"/>
      <c r="AJ27" s="943">
        <v>0</v>
      </c>
      <c r="AK27" s="943">
        <v>0</v>
      </c>
      <c r="AL27" s="943">
        <v>0</v>
      </c>
      <c r="AM27" s="943">
        <v>0</v>
      </c>
      <c r="AN27" s="944">
        <v>0</v>
      </c>
      <c r="AO27" s="944">
        <v>0</v>
      </c>
      <c r="AP27" s="944">
        <v>0</v>
      </c>
      <c r="AQ27" s="944">
        <v>0</v>
      </c>
      <c r="AR27" s="944">
        <v>0</v>
      </c>
      <c r="AS27" s="944">
        <v>0</v>
      </c>
      <c r="AT27" s="944">
        <v>0</v>
      </c>
      <c r="AU27" s="944">
        <v>0</v>
      </c>
      <c r="AV27" s="206"/>
    </row>
    <row r="28" spans="2:51" ht="14" thickBot="1">
      <c r="B28" s="214"/>
      <c r="C28" s="1253"/>
      <c r="D28" s="1254"/>
      <c r="E28" s="1184" t="s">
        <v>244</v>
      </c>
      <c r="F28" s="1256"/>
      <c r="G28" s="1257"/>
      <c r="H28" s="231"/>
      <c r="I28" s="234" t="s">
        <v>75</v>
      </c>
      <c r="J28" s="235">
        <f t="shared" ref="J28:U28" si="30">J27*$F27/12/$P$3</f>
        <v>0</v>
      </c>
      <c r="K28" s="235">
        <f t="shared" si="30"/>
        <v>0</v>
      </c>
      <c r="L28" s="235">
        <f t="shared" si="30"/>
        <v>0</v>
      </c>
      <c r="M28" s="235">
        <f t="shared" si="30"/>
        <v>0</v>
      </c>
      <c r="N28" s="236">
        <f t="shared" si="30"/>
        <v>0</v>
      </c>
      <c r="O28" s="236">
        <f t="shared" si="30"/>
        <v>0</v>
      </c>
      <c r="P28" s="236">
        <f t="shared" si="30"/>
        <v>0</v>
      </c>
      <c r="Q28" s="236">
        <f t="shared" si="30"/>
        <v>0</v>
      </c>
      <c r="R28" s="236">
        <f t="shared" si="30"/>
        <v>0</v>
      </c>
      <c r="S28" s="236">
        <f t="shared" si="30"/>
        <v>0</v>
      </c>
      <c r="T28" s="236">
        <f t="shared" si="30"/>
        <v>0</v>
      </c>
      <c r="U28" s="236">
        <f t="shared" si="30"/>
        <v>0</v>
      </c>
      <c r="V28" s="239"/>
      <c r="W28" s="238">
        <f t="shared" ref="W28:AH28" si="31">W27*$F27/12/$P$3*(1+$AA$4)</f>
        <v>0</v>
      </c>
      <c r="X28" s="236">
        <f t="shared" si="31"/>
        <v>0</v>
      </c>
      <c r="Y28" s="236">
        <f t="shared" si="31"/>
        <v>0</v>
      </c>
      <c r="Z28" s="236">
        <f t="shared" si="31"/>
        <v>0</v>
      </c>
      <c r="AA28" s="236">
        <f t="shared" si="31"/>
        <v>0</v>
      </c>
      <c r="AB28" s="236">
        <f t="shared" si="31"/>
        <v>0</v>
      </c>
      <c r="AC28" s="236">
        <f t="shared" si="31"/>
        <v>0</v>
      </c>
      <c r="AD28" s="236">
        <f t="shared" si="31"/>
        <v>0</v>
      </c>
      <c r="AE28" s="236">
        <f t="shared" si="31"/>
        <v>0</v>
      </c>
      <c r="AF28" s="236">
        <f t="shared" si="31"/>
        <v>0</v>
      </c>
      <c r="AG28" s="236">
        <f t="shared" si="31"/>
        <v>0</v>
      </c>
      <c r="AH28" s="236">
        <f t="shared" si="31"/>
        <v>0</v>
      </c>
      <c r="AI28" s="240"/>
      <c r="AJ28" s="238">
        <f t="shared" ref="AJ28:AU28" si="32">AJ27*$F27/12/$P$3*(1+$AN$4)*(1+$AA$4)</f>
        <v>0</v>
      </c>
      <c r="AK28" s="236">
        <f t="shared" si="32"/>
        <v>0</v>
      </c>
      <c r="AL28" s="236">
        <f t="shared" si="32"/>
        <v>0</v>
      </c>
      <c r="AM28" s="236">
        <f t="shared" si="32"/>
        <v>0</v>
      </c>
      <c r="AN28" s="236">
        <f t="shared" si="32"/>
        <v>0</v>
      </c>
      <c r="AO28" s="236">
        <f t="shared" si="32"/>
        <v>0</v>
      </c>
      <c r="AP28" s="236">
        <f t="shared" si="32"/>
        <v>0</v>
      </c>
      <c r="AQ28" s="236">
        <f t="shared" si="32"/>
        <v>0</v>
      </c>
      <c r="AR28" s="236">
        <f t="shared" si="32"/>
        <v>0</v>
      </c>
      <c r="AS28" s="236">
        <f t="shared" si="32"/>
        <v>0</v>
      </c>
      <c r="AT28" s="236">
        <f t="shared" si="32"/>
        <v>0</v>
      </c>
      <c r="AU28" s="236">
        <f t="shared" si="32"/>
        <v>0</v>
      </c>
      <c r="AV28" s="206"/>
    </row>
    <row r="29" spans="2:51" ht="14" thickBot="1">
      <c r="B29" s="214"/>
      <c r="C29" s="1253"/>
      <c r="D29" s="1254"/>
      <c r="E29" s="1255"/>
      <c r="F29" s="1256"/>
      <c r="G29" s="1257"/>
      <c r="H29" s="229"/>
      <c r="I29" s="233"/>
      <c r="J29" s="943"/>
      <c r="K29" s="943"/>
      <c r="L29" s="943"/>
      <c r="M29" s="943"/>
      <c r="N29" s="944"/>
      <c r="O29" s="944"/>
      <c r="P29" s="944"/>
      <c r="Q29" s="944"/>
      <c r="R29" s="944"/>
      <c r="S29" s="944"/>
      <c r="T29" s="944"/>
      <c r="U29" s="944"/>
      <c r="V29" s="239"/>
      <c r="W29" s="943"/>
      <c r="X29" s="943"/>
      <c r="Y29" s="943"/>
      <c r="Z29" s="943"/>
      <c r="AA29" s="944"/>
      <c r="AB29" s="944"/>
      <c r="AC29" s="944"/>
      <c r="AD29" s="944"/>
      <c r="AE29" s="944"/>
      <c r="AF29" s="944"/>
      <c r="AG29" s="944"/>
      <c r="AH29" s="944"/>
      <c r="AI29" s="240"/>
      <c r="AJ29" s="943"/>
      <c r="AK29" s="943"/>
      <c r="AL29" s="943"/>
      <c r="AM29" s="943"/>
      <c r="AN29" s="944"/>
      <c r="AO29" s="944"/>
      <c r="AP29" s="944"/>
      <c r="AQ29" s="944"/>
      <c r="AR29" s="944"/>
      <c r="AS29" s="944"/>
      <c r="AT29" s="944"/>
      <c r="AU29" s="944"/>
      <c r="AV29" s="206"/>
    </row>
    <row r="30" spans="2:51" ht="14" thickBot="1">
      <c r="B30" s="214"/>
      <c r="C30" s="1253"/>
      <c r="D30" s="1254"/>
      <c r="E30" s="1255"/>
      <c r="F30" s="1256"/>
      <c r="G30" s="1257"/>
      <c r="H30" s="231"/>
      <c r="I30" s="234"/>
      <c r="J30" s="235"/>
      <c r="K30" s="235"/>
      <c r="L30" s="235"/>
      <c r="M30" s="235"/>
      <c r="N30" s="236"/>
      <c r="O30" s="236"/>
      <c r="P30" s="236"/>
      <c r="Q30" s="236"/>
      <c r="R30" s="236"/>
      <c r="S30" s="236"/>
      <c r="T30" s="236"/>
      <c r="U30" s="236"/>
      <c r="V30" s="239"/>
      <c r="W30" s="238"/>
      <c r="X30" s="236"/>
      <c r="Y30" s="236"/>
      <c r="Z30" s="236"/>
      <c r="AA30" s="236"/>
      <c r="AB30" s="236"/>
      <c r="AC30" s="236"/>
      <c r="AD30" s="236"/>
      <c r="AE30" s="236"/>
      <c r="AF30" s="236"/>
      <c r="AG30" s="236"/>
      <c r="AH30" s="236"/>
      <c r="AI30" s="240"/>
      <c r="AJ30" s="238"/>
      <c r="AK30" s="236"/>
      <c r="AL30" s="236"/>
      <c r="AM30" s="236"/>
      <c r="AN30" s="236"/>
      <c r="AO30" s="236"/>
      <c r="AP30" s="236"/>
      <c r="AQ30" s="236"/>
      <c r="AR30" s="236"/>
      <c r="AS30" s="236"/>
      <c r="AT30" s="236"/>
      <c r="AU30" s="236"/>
      <c r="AV30" s="206"/>
    </row>
    <row r="31" spans="2:51" ht="14" thickBot="1">
      <c r="B31" s="214"/>
      <c r="C31" s="1253"/>
      <c r="D31" s="1254"/>
      <c r="E31" s="1255"/>
      <c r="F31" s="1256"/>
      <c r="G31" s="1257"/>
      <c r="H31" s="229"/>
      <c r="I31" s="233"/>
      <c r="J31" s="943"/>
      <c r="K31" s="943"/>
      <c r="L31" s="943"/>
      <c r="M31" s="943"/>
      <c r="N31" s="944"/>
      <c r="O31" s="944"/>
      <c r="P31" s="944"/>
      <c r="Q31" s="944"/>
      <c r="R31" s="944"/>
      <c r="S31" s="944"/>
      <c r="T31" s="944"/>
      <c r="U31" s="944"/>
      <c r="V31" s="239"/>
      <c r="W31" s="943"/>
      <c r="X31" s="943"/>
      <c r="Y31" s="943"/>
      <c r="Z31" s="943"/>
      <c r="AA31" s="944"/>
      <c r="AB31" s="944"/>
      <c r="AC31" s="944"/>
      <c r="AD31" s="944"/>
      <c r="AE31" s="944"/>
      <c r="AF31" s="944"/>
      <c r="AG31" s="944"/>
      <c r="AH31" s="944"/>
      <c r="AI31" s="240"/>
      <c r="AJ31" s="943"/>
      <c r="AK31" s="943"/>
      <c r="AL31" s="943"/>
      <c r="AM31" s="943"/>
      <c r="AN31" s="944"/>
      <c r="AO31" s="944"/>
      <c r="AP31" s="944"/>
      <c r="AQ31" s="944"/>
      <c r="AR31" s="944"/>
      <c r="AS31" s="944"/>
      <c r="AT31" s="944"/>
      <c r="AU31" s="944"/>
      <c r="AV31" s="206"/>
    </row>
    <row r="32" spans="2:51" ht="14" thickBot="1">
      <c r="B32" s="214"/>
      <c r="C32" s="1253"/>
      <c r="D32" s="1254"/>
      <c r="E32" s="1255"/>
      <c r="F32" s="1256"/>
      <c r="G32" s="1257"/>
      <c r="H32" s="231"/>
      <c r="I32" s="234"/>
      <c r="J32" s="235"/>
      <c r="K32" s="235"/>
      <c r="L32" s="235"/>
      <c r="M32" s="235"/>
      <c r="N32" s="236"/>
      <c r="O32" s="236"/>
      <c r="P32" s="236"/>
      <c r="Q32" s="236"/>
      <c r="R32" s="236"/>
      <c r="S32" s="236"/>
      <c r="T32" s="236"/>
      <c r="U32" s="236"/>
      <c r="V32" s="239"/>
      <c r="W32" s="238"/>
      <c r="X32" s="236"/>
      <c r="Y32" s="236"/>
      <c r="Z32" s="236"/>
      <c r="AA32" s="236"/>
      <c r="AB32" s="236"/>
      <c r="AC32" s="236"/>
      <c r="AD32" s="236"/>
      <c r="AE32" s="236"/>
      <c r="AF32" s="236"/>
      <c r="AG32" s="236"/>
      <c r="AH32" s="236"/>
      <c r="AI32" s="240"/>
      <c r="AJ32" s="238"/>
      <c r="AK32" s="236"/>
      <c r="AL32" s="236"/>
      <c r="AM32" s="236"/>
      <c r="AN32" s="236"/>
      <c r="AO32" s="236"/>
      <c r="AP32" s="236"/>
      <c r="AQ32" s="236"/>
      <c r="AR32" s="236"/>
      <c r="AS32" s="236"/>
      <c r="AT32" s="236"/>
      <c r="AU32" s="236"/>
      <c r="AV32" s="206"/>
    </row>
    <row r="33" spans="2:48" ht="14" thickBot="1">
      <c r="B33" s="214"/>
      <c r="C33" s="1253"/>
      <c r="D33" s="1254"/>
      <c r="E33" s="1255"/>
      <c r="F33" s="1256"/>
      <c r="G33" s="1257"/>
      <c r="H33" s="229"/>
      <c r="I33" s="233"/>
      <c r="J33" s="943"/>
      <c r="K33" s="943"/>
      <c r="L33" s="943"/>
      <c r="M33" s="943"/>
      <c r="N33" s="944"/>
      <c r="O33" s="944"/>
      <c r="P33" s="944"/>
      <c r="Q33" s="944"/>
      <c r="R33" s="944"/>
      <c r="S33" s="944"/>
      <c r="T33" s="944"/>
      <c r="U33" s="944"/>
      <c r="V33" s="239"/>
      <c r="W33" s="943"/>
      <c r="X33" s="943"/>
      <c r="Y33" s="943"/>
      <c r="Z33" s="943"/>
      <c r="AA33" s="944"/>
      <c r="AB33" s="944"/>
      <c r="AC33" s="944"/>
      <c r="AD33" s="944"/>
      <c r="AE33" s="944"/>
      <c r="AF33" s="944"/>
      <c r="AG33" s="944"/>
      <c r="AH33" s="944"/>
      <c r="AI33" s="240"/>
      <c r="AJ33" s="943"/>
      <c r="AK33" s="943"/>
      <c r="AL33" s="943"/>
      <c r="AM33" s="943"/>
      <c r="AN33" s="944"/>
      <c r="AO33" s="944"/>
      <c r="AP33" s="944"/>
      <c r="AQ33" s="944"/>
      <c r="AR33" s="944"/>
      <c r="AS33" s="944"/>
      <c r="AT33" s="944"/>
      <c r="AU33" s="944"/>
      <c r="AV33" s="206"/>
    </row>
    <row r="34" spans="2:48" ht="14" thickBot="1">
      <c r="B34" s="214"/>
      <c r="C34" s="1253"/>
      <c r="D34" s="1254"/>
      <c r="E34" s="1255"/>
      <c r="F34" s="1256"/>
      <c r="G34" s="1257"/>
      <c r="H34" s="231"/>
      <c r="I34" s="234"/>
      <c r="J34" s="235"/>
      <c r="K34" s="235"/>
      <c r="L34" s="235"/>
      <c r="M34" s="235"/>
      <c r="N34" s="236"/>
      <c r="O34" s="236"/>
      <c r="P34" s="236"/>
      <c r="Q34" s="236"/>
      <c r="R34" s="236"/>
      <c r="S34" s="236"/>
      <c r="T34" s="236"/>
      <c r="U34" s="236"/>
      <c r="V34" s="239"/>
      <c r="W34" s="238"/>
      <c r="X34" s="236"/>
      <c r="Y34" s="236"/>
      <c r="Z34" s="236"/>
      <c r="AA34" s="236"/>
      <c r="AB34" s="236"/>
      <c r="AC34" s="236"/>
      <c r="AD34" s="236"/>
      <c r="AE34" s="236"/>
      <c r="AF34" s="236"/>
      <c r="AG34" s="236"/>
      <c r="AH34" s="236"/>
      <c r="AI34" s="240"/>
      <c r="AJ34" s="238"/>
      <c r="AK34" s="236"/>
      <c r="AL34" s="236"/>
      <c r="AM34" s="236"/>
      <c r="AN34" s="236"/>
      <c r="AO34" s="236"/>
      <c r="AP34" s="236"/>
      <c r="AQ34" s="236"/>
      <c r="AR34" s="236"/>
      <c r="AS34" s="236"/>
      <c r="AT34" s="236"/>
      <c r="AU34" s="236"/>
      <c r="AV34" s="206"/>
    </row>
    <row r="35" spans="2:48" ht="14" thickBot="1">
      <c r="B35" s="214"/>
      <c r="C35" s="241"/>
      <c r="D35" s="242"/>
      <c r="E35" s="243"/>
      <c r="F35" s="244"/>
      <c r="G35" s="230"/>
      <c r="H35" s="230"/>
      <c r="I35" s="230"/>
      <c r="J35" s="245"/>
      <c r="K35" s="245"/>
      <c r="L35" s="245"/>
      <c r="M35" s="245"/>
      <c r="N35" s="245"/>
      <c r="O35" s="245"/>
      <c r="P35" s="245"/>
      <c r="Q35" s="245"/>
      <c r="R35" s="245"/>
      <c r="S35" s="245"/>
      <c r="T35" s="245"/>
      <c r="U35" s="245"/>
      <c r="V35" s="208"/>
      <c r="W35" s="245"/>
      <c r="X35" s="245"/>
      <c r="Y35" s="245"/>
      <c r="Z35" s="245"/>
      <c r="AA35" s="245"/>
      <c r="AB35" s="245"/>
      <c r="AC35" s="245"/>
      <c r="AD35" s="245"/>
      <c r="AE35" s="245"/>
      <c r="AF35" s="245"/>
      <c r="AG35" s="245"/>
      <c r="AH35" s="245"/>
      <c r="AI35" s="201"/>
      <c r="AJ35" s="245"/>
      <c r="AK35" s="245"/>
      <c r="AL35" s="245"/>
      <c r="AM35" s="245"/>
      <c r="AN35" s="245"/>
      <c r="AO35" s="245"/>
      <c r="AP35" s="245"/>
      <c r="AQ35" s="245"/>
      <c r="AR35" s="245"/>
      <c r="AS35" s="245"/>
      <c r="AT35" s="245"/>
      <c r="AU35" s="245"/>
      <c r="AV35" s="206"/>
    </row>
    <row r="36" spans="2:48">
      <c r="B36" s="214"/>
      <c r="C36" s="264" t="s">
        <v>439</v>
      </c>
      <c r="D36" s="246"/>
      <c r="E36" s="247"/>
      <c r="F36" s="248"/>
      <c r="G36" s="249"/>
      <c r="H36" s="230"/>
      <c r="I36" s="230"/>
      <c r="J36" s="256">
        <f t="shared" ref="J36:AU36" si="33">J7+J13+J15+J17+J19+J21+J23+J25+J27+J29+J31+J33+J11+J9</f>
        <v>3</v>
      </c>
      <c r="K36" s="256">
        <f t="shared" si="33"/>
        <v>3</v>
      </c>
      <c r="L36" s="256">
        <f t="shared" si="33"/>
        <v>3</v>
      </c>
      <c r="M36" s="256">
        <f t="shared" si="33"/>
        <v>3</v>
      </c>
      <c r="N36" s="256">
        <f t="shared" si="33"/>
        <v>3</v>
      </c>
      <c r="O36" s="256">
        <f t="shared" si="33"/>
        <v>3</v>
      </c>
      <c r="P36" s="256">
        <f t="shared" si="33"/>
        <v>3</v>
      </c>
      <c r="Q36" s="256">
        <f t="shared" si="33"/>
        <v>3</v>
      </c>
      <c r="R36" s="256">
        <f t="shared" si="33"/>
        <v>3</v>
      </c>
      <c r="S36" s="256">
        <f t="shared" si="33"/>
        <v>3</v>
      </c>
      <c r="T36" s="256">
        <f t="shared" si="33"/>
        <v>3</v>
      </c>
      <c r="U36" s="256">
        <f t="shared" si="33"/>
        <v>5</v>
      </c>
      <c r="V36" s="259">
        <f t="shared" si="33"/>
        <v>0</v>
      </c>
      <c r="W36" s="256">
        <f t="shared" si="33"/>
        <v>3</v>
      </c>
      <c r="X36" s="256">
        <f t="shared" si="33"/>
        <v>3</v>
      </c>
      <c r="Y36" s="256">
        <f t="shared" si="33"/>
        <v>3</v>
      </c>
      <c r="Z36" s="256">
        <f t="shared" si="33"/>
        <v>3</v>
      </c>
      <c r="AA36" s="256">
        <f t="shared" si="33"/>
        <v>3</v>
      </c>
      <c r="AB36" s="256">
        <f t="shared" si="33"/>
        <v>3</v>
      </c>
      <c r="AC36" s="256">
        <f t="shared" si="33"/>
        <v>3</v>
      </c>
      <c r="AD36" s="256">
        <f t="shared" si="33"/>
        <v>3</v>
      </c>
      <c r="AE36" s="256">
        <f t="shared" si="33"/>
        <v>3</v>
      </c>
      <c r="AF36" s="256">
        <f t="shared" si="33"/>
        <v>3</v>
      </c>
      <c r="AG36" s="256">
        <f t="shared" si="33"/>
        <v>3</v>
      </c>
      <c r="AH36" s="256">
        <f t="shared" si="33"/>
        <v>3</v>
      </c>
      <c r="AI36" s="259">
        <f t="shared" si="33"/>
        <v>0</v>
      </c>
      <c r="AJ36" s="256">
        <f t="shared" si="33"/>
        <v>3</v>
      </c>
      <c r="AK36" s="256">
        <f t="shared" si="33"/>
        <v>3</v>
      </c>
      <c r="AL36" s="256">
        <f t="shared" si="33"/>
        <v>3</v>
      </c>
      <c r="AM36" s="256">
        <f t="shared" si="33"/>
        <v>3</v>
      </c>
      <c r="AN36" s="256">
        <f t="shared" si="33"/>
        <v>3</v>
      </c>
      <c r="AO36" s="256">
        <f t="shared" si="33"/>
        <v>3</v>
      </c>
      <c r="AP36" s="256">
        <f t="shared" si="33"/>
        <v>3</v>
      </c>
      <c r="AQ36" s="256">
        <f t="shared" si="33"/>
        <v>3</v>
      </c>
      <c r="AR36" s="256">
        <f t="shared" si="33"/>
        <v>3</v>
      </c>
      <c r="AS36" s="256">
        <f t="shared" si="33"/>
        <v>3</v>
      </c>
      <c r="AT36" s="256">
        <f t="shared" si="33"/>
        <v>3</v>
      </c>
      <c r="AU36" s="256">
        <f t="shared" si="33"/>
        <v>3</v>
      </c>
      <c r="AV36" s="206"/>
    </row>
    <row r="37" spans="2:48">
      <c r="B37" s="214"/>
      <c r="C37" s="265" t="s">
        <v>440</v>
      </c>
      <c r="D37" s="213"/>
      <c r="E37" s="213"/>
      <c r="F37" s="250"/>
      <c r="G37" s="251"/>
      <c r="H37" s="201"/>
      <c r="I37" s="201"/>
      <c r="J37" s="257">
        <f t="shared" ref="J37:AU37" si="34">J$8+J$34+J$14+J$16+J$18+J$20+J$22+J$26+J$28+J$30+J$32+J$24+J12+J10</f>
        <v>18.5</v>
      </c>
      <c r="K37" s="257">
        <f t="shared" si="34"/>
        <v>18.5</v>
      </c>
      <c r="L37" s="257">
        <f t="shared" si="34"/>
        <v>18.5</v>
      </c>
      <c r="M37" s="257">
        <f t="shared" si="34"/>
        <v>18.5</v>
      </c>
      <c r="N37" s="257">
        <f t="shared" si="34"/>
        <v>18.5</v>
      </c>
      <c r="O37" s="257">
        <f t="shared" si="34"/>
        <v>18.5</v>
      </c>
      <c r="P37" s="257">
        <f t="shared" si="34"/>
        <v>18.5</v>
      </c>
      <c r="Q37" s="257">
        <f t="shared" si="34"/>
        <v>18.5</v>
      </c>
      <c r="R37" s="257">
        <f t="shared" si="34"/>
        <v>18.5</v>
      </c>
      <c r="S37" s="257">
        <f t="shared" si="34"/>
        <v>18.5</v>
      </c>
      <c r="T37" s="257">
        <f t="shared" si="34"/>
        <v>18.5</v>
      </c>
      <c r="U37" s="257">
        <f t="shared" si="34"/>
        <v>18.5</v>
      </c>
      <c r="V37" s="259">
        <f t="shared" si="34"/>
        <v>0</v>
      </c>
      <c r="W37" s="257">
        <f t="shared" si="34"/>
        <v>18.869999999999997</v>
      </c>
      <c r="X37" s="257">
        <f t="shared" si="34"/>
        <v>18.869999999999997</v>
      </c>
      <c r="Y37" s="257">
        <f t="shared" si="34"/>
        <v>18.869999999999997</v>
      </c>
      <c r="Z37" s="257">
        <f t="shared" si="34"/>
        <v>18.869999999999997</v>
      </c>
      <c r="AA37" s="257">
        <f t="shared" si="34"/>
        <v>18.869999999999997</v>
      </c>
      <c r="AB37" s="257">
        <f t="shared" si="34"/>
        <v>18.869999999999997</v>
      </c>
      <c r="AC37" s="257">
        <f t="shared" si="34"/>
        <v>18.869999999999997</v>
      </c>
      <c r="AD37" s="257">
        <f t="shared" si="34"/>
        <v>18.869999999999997</v>
      </c>
      <c r="AE37" s="257">
        <f t="shared" si="34"/>
        <v>18.869999999999997</v>
      </c>
      <c r="AF37" s="257">
        <f t="shared" si="34"/>
        <v>18.869999999999997</v>
      </c>
      <c r="AG37" s="257">
        <f t="shared" si="34"/>
        <v>18.869999999999997</v>
      </c>
      <c r="AH37" s="257">
        <f t="shared" si="34"/>
        <v>18.869999999999997</v>
      </c>
      <c r="AI37" s="259">
        <f t="shared" si="34"/>
        <v>0</v>
      </c>
      <c r="AJ37" s="257">
        <f t="shared" si="34"/>
        <v>19.813500000000001</v>
      </c>
      <c r="AK37" s="257">
        <f t="shared" si="34"/>
        <v>19.813500000000001</v>
      </c>
      <c r="AL37" s="257">
        <f t="shared" si="34"/>
        <v>19.813500000000001</v>
      </c>
      <c r="AM37" s="257">
        <f t="shared" si="34"/>
        <v>19.813500000000001</v>
      </c>
      <c r="AN37" s="257">
        <f t="shared" si="34"/>
        <v>19.813500000000001</v>
      </c>
      <c r="AO37" s="257">
        <f t="shared" si="34"/>
        <v>19.813500000000001</v>
      </c>
      <c r="AP37" s="257">
        <f t="shared" si="34"/>
        <v>19.813500000000001</v>
      </c>
      <c r="AQ37" s="257">
        <f t="shared" si="34"/>
        <v>19.813500000000001</v>
      </c>
      <c r="AR37" s="257">
        <f t="shared" si="34"/>
        <v>19.813500000000001</v>
      </c>
      <c r="AS37" s="257">
        <f t="shared" si="34"/>
        <v>19.813500000000001</v>
      </c>
      <c r="AT37" s="257">
        <f t="shared" si="34"/>
        <v>19.813500000000001</v>
      </c>
      <c r="AU37" s="257">
        <f t="shared" si="34"/>
        <v>19.813500000000001</v>
      </c>
      <c r="AV37" s="206"/>
    </row>
    <row r="38" spans="2:48">
      <c r="B38" s="609"/>
      <c r="C38" s="265" t="s">
        <v>447</v>
      </c>
      <c r="D38" s="213"/>
      <c r="E38" s="213"/>
      <c r="F38" s="250"/>
      <c r="G38" s="251"/>
      <c r="H38" s="201"/>
      <c r="I38" s="201"/>
      <c r="J38" s="257">
        <f ca="1">SUMIF($E$7:$E$34,"GF",J7:J10)</f>
        <v>10</v>
      </c>
      <c r="K38" s="257">
        <f t="shared" ref="K38:AU38" ca="1" si="35">SUMIF($E$7:$E$34,"GF",K7:K10)</f>
        <v>10</v>
      </c>
      <c r="L38" s="257">
        <f t="shared" ca="1" si="35"/>
        <v>10</v>
      </c>
      <c r="M38" s="257">
        <f t="shared" ca="1" si="35"/>
        <v>10</v>
      </c>
      <c r="N38" s="257">
        <f t="shared" ca="1" si="35"/>
        <v>10</v>
      </c>
      <c r="O38" s="257">
        <f t="shared" ca="1" si="35"/>
        <v>10</v>
      </c>
      <c r="P38" s="257">
        <f t="shared" ca="1" si="35"/>
        <v>10</v>
      </c>
      <c r="Q38" s="257">
        <f t="shared" ca="1" si="35"/>
        <v>10</v>
      </c>
      <c r="R38" s="257">
        <f t="shared" ca="1" si="35"/>
        <v>10</v>
      </c>
      <c r="S38" s="257">
        <f t="shared" ca="1" si="35"/>
        <v>10</v>
      </c>
      <c r="T38" s="257">
        <f t="shared" ca="1" si="35"/>
        <v>10</v>
      </c>
      <c r="U38" s="257">
        <f t="shared" ca="1" si="35"/>
        <v>10</v>
      </c>
      <c r="V38" s="259"/>
      <c r="W38" s="257">
        <f t="shared" ca="1" si="35"/>
        <v>10.199999999999999</v>
      </c>
      <c r="X38" s="257">
        <f t="shared" ca="1" si="35"/>
        <v>10.199999999999999</v>
      </c>
      <c r="Y38" s="257">
        <f t="shared" ca="1" si="35"/>
        <v>10.199999999999999</v>
      </c>
      <c r="Z38" s="257">
        <f t="shared" ca="1" si="35"/>
        <v>10.199999999999999</v>
      </c>
      <c r="AA38" s="257">
        <f t="shared" ca="1" si="35"/>
        <v>10.199999999999999</v>
      </c>
      <c r="AB38" s="257">
        <f t="shared" ca="1" si="35"/>
        <v>10.199999999999999</v>
      </c>
      <c r="AC38" s="257">
        <f t="shared" ca="1" si="35"/>
        <v>10.199999999999999</v>
      </c>
      <c r="AD38" s="257">
        <f t="shared" ca="1" si="35"/>
        <v>10.199999999999999</v>
      </c>
      <c r="AE38" s="257">
        <f t="shared" ca="1" si="35"/>
        <v>10.199999999999999</v>
      </c>
      <c r="AF38" s="257">
        <f t="shared" ca="1" si="35"/>
        <v>10.199999999999999</v>
      </c>
      <c r="AG38" s="257">
        <f t="shared" ca="1" si="35"/>
        <v>10.199999999999999</v>
      </c>
      <c r="AH38" s="257">
        <f t="shared" ca="1" si="35"/>
        <v>10.199999999999999</v>
      </c>
      <c r="AI38" s="259"/>
      <c r="AJ38" s="257">
        <f t="shared" ca="1" si="35"/>
        <v>10.71</v>
      </c>
      <c r="AK38" s="257">
        <f t="shared" ca="1" si="35"/>
        <v>10.71</v>
      </c>
      <c r="AL38" s="257">
        <f t="shared" ca="1" si="35"/>
        <v>10.71</v>
      </c>
      <c r="AM38" s="257">
        <f t="shared" ca="1" si="35"/>
        <v>10.71</v>
      </c>
      <c r="AN38" s="257">
        <f t="shared" ca="1" si="35"/>
        <v>10.71</v>
      </c>
      <c r="AO38" s="257">
        <f t="shared" ca="1" si="35"/>
        <v>10.71</v>
      </c>
      <c r="AP38" s="257">
        <f t="shared" ca="1" si="35"/>
        <v>10.71</v>
      </c>
      <c r="AQ38" s="257">
        <f t="shared" ca="1" si="35"/>
        <v>10.71</v>
      </c>
      <c r="AR38" s="257">
        <f t="shared" ca="1" si="35"/>
        <v>10.71</v>
      </c>
      <c r="AS38" s="257">
        <f t="shared" ca="1" si="35"/>
        <v>10.71</v>
      </c>
      <c r="AT38" s="257">
        <f t="shared" ca="1" si="35"/>
        <v>10.71</v>
      </c>
      <c r="AU38" s="257">
        <f t="shared" ca="1" si="35"/>
        <v>10.71</v>
      </c>
      <c r="AV38" s="212"/>
    </row>
    <row r="39" spans="2:48">
      <c r="B39" s="214"/>
      <c r="C39" s="265" t="s">
        <v>441</v>
      </c>
      <c r="D39" s="252"/>
      <c r="E39" s="252"/>
      <c r="F39" s="250"/>
      <c r="G39" s="251"/>
      <c r="H39" s="201"/>
      <c r="I39" s="201"/>
      <c r="J39" s="257">
        <f t="shared" ref="J39:U39" si="36">(J8*$G7)+(J14*$G13)+(J16*$G15)+(J18*$G17)+(J20*$G19)+(J22*$G21)+(J24*$G23)+(J26*$G25)+(J28*$G27)+(J30*$G29)+(J32*$G31)+(J34*$G33)+(J12*$G11)+(J10*$G9)</f>
        <v>3.7700000000000005</v>
      </c>
      <c r="K39" s="257">
        <f t="shared" si="36"/>
        <v>3.7700000000000005</v>
      </c>
      <c r="L39" s="257">
        <f t="shared" si="36"/>
        <v>3.7700000000000005</v>
      </c>
      <c r="M39" s="257">
        <f t="shared" si="36"/>
        <v>3.7700000000000005</v>
      </c>
      <c r="N39" s="257">
        <f t="shared" si="36"/>
        <v>3.7700000000000005</v>
      </c>
      <c r="O39" s="257">
        <f t="shared" si="36"/>
        <v>3.7700000000000005</v>
      </c>
      <c r="P39" s="257">
        <f t="shared" si="36"/>
        <v>3.7700000000000005</v>
      </c>
      <c r="Q39" s="257">
        <f t="shared" si="36"/>
        <v>3.7700000000000005</v>
      </c>
      <c r="R39" s="257">
        <f t="shared" si="36"/>
        <v>3.7700000000000005</v>
      </c>
      <c r="S39" s="257">
        <f t="shared" si="36"/>
        <v>3.7700000000000005</v>
      </c>
      <c r="T39" s="257">
        <f t="shared" si="36"/>
        <v>3.7700000000000005</v>
      </c>
      <c r="U39" s="257">
        <f t="shared" si="36"/>
        <v>3.7700000000000005</v>
      </c>
      <c r="V39" s="259"/>
      <c r="W39" s="257">
        <f t="shared" ref="W39:AH39" si="37">(W8*$G7)+(W14*$G13)+(W16*$G15)+(W18*$G17)+(W20*$G19)+(W22*$G21)+(W24*$G23)+(W26*$G25)+(W28*$G27)+(W30*$G29)+(W32*$G31)+(W34*$G33)+(W12*$G11)+(W10*$G9)</f>
        <v>3.8454000000000002</v>
      </c>
      <c r="X39" s="257">
        <f t="shared" si="37"/>
        <v>3.8454000000000002</v>
      </c>
      <c r="Y39" s="257">
        <f t="shared" si="37"/>
        <v>3.8454000000000002</v>
      </c>
      <c r="Z39" s="257">
        <f t="shared" si="37"/>
        <v>3.8454000000000002</v>
      </c>
      <c r="AA39" s="257">
        <f t="shared" si="37"/>
        <v>3.8454000000000002</v>
      </c>
      <c r="AB39" s="257">
        <f t="shared" si="37"/>
        <v>3.8454000000000002</v>
      </c>
      <c r="AC39" s="257">
        <f t="shared" si="37"/>
        <v>3.8454000000000002</v>
      </c>
      <c r="AD39" s="257">
        <f t="shared" si="37"/>
        <v>3.8454000000000002</v>
      </c>
      <c r="AE39" s="257">
        <f t="shared" si="37"/>
        <v>3.8454000000000002</v>
      </c>
      <c r="AF39" s="257">
        <f t="shared" si="37"/>
        <v>3.8454000000000002</v>
      </c>
      <c r="AG39" s="257">
        <f t="shared" si="37"/>
        <v>3.8454000000000002</v>
      </c>
      <c r="AH39" s="257">
        <f t="shared" si="37"/>
        <v>3.8454000000000002</v>
      </c>
      <c r="AI39" s="259"/>
      <c r="AJ39" s="257">
        <f t="shared" ref="AJ39:AU39" si="38">(AJ8*$G7)+(AJ14*$G13)+(AJ16*$G15)+(AJ18*$G17)+(AJ20*$G19)+(AJ22*$G21)+(AJ24*$G23)+(AJ26*$G25)+(AJ28*$G27)+(AJ30*$G29)+(AJ32*$G31)+(AJ34*$G33)+(AJ12*$G11)+(AJ10*$G9)</f>
        <v>4.0376700000000003</v>
      </c>
      <c r="AK39" s="257">
        <f t="shared" si="38"/>
        <v>4.0376700000000003</v>
      </c>
      <c r="AL39" s="257">
        <f t="shared" si="38"/>
        <v>4.0376700000000003</v>
      </c>
      <c r="AM39" s="257">
        <f t="shared" si="38"/>
        <v>4.0376700000000003</v>
      </c>
      <c r="AN39" s="257">
        <f t="shared" si="38"/>
        <v>4.0376700000000003</v>
      </c>
      <c r="AO39" s="257">
        <f t="shared" si="38"/>
        <v>4.0376700000000003</v>
      </c>
      <c r="AP39" s="257">
        <f t="shared" si="38"/>
        <v>4.0376700000000003</v>
      </c>
      <c r="AQ39" s="257">
        <f t="shared" si="38"/>
        <v>4.0376700000000003</v>
      </c>
      <c r="AR39" s="257">
        <f t="shared" si="38"/>
        <v>4.0376700000000003</v>
      </c>
      <c r="AS39" s="257">
        <f t="shared" si="38"/>
        <v>4.0376700000000003</v>
      </c>
      <c r="AT39" s="257">
        <f t="shared" si="38"/>
        <v>4.0376700000000003</v>
      </c>
      <c r="AU39" s="257">
        <f t="shared" si="38"/>
        <v>4.0376700000000003</v>
      </c>
      <c r="AV39" s="269"/>
    </row>
    <row r="40" spans="2:48" ht="14" thickBot="1">
      <c r="B40" s="214"/>
      <c r="C40" s="266" t="s">
        <v>442</v>
      </c>
      <c r="D40" s="253"/>
      <c r="E40" s="253"/>
      <c r="F40" s="254"/>
      <c r="G40" s="255"/>
      <c r="H40" s="232"/>
      <c r="I40" s="232"/>
      <c r="J40" s="258">
        <f>+J39+J37</f>
        <v>22.27</v>
      </c>
      <c r="K40" s="258">
        <f t="shared" ref="K40:W40" si="39">+K39+K37</f>
        <v>22.27</v>
      </c>
      <c r="L40" s="258">
        <f t="shared" si="39"/>
        <v>22.27</v>
      </c>
      <c r="M40" s="258">
        <f t="shared" si="39"/>
        <v>22.27</v>
      </c>
      <c r="N40" s="258">
        <f t="shared" si="39"/>
        <v>22.27</v>
      </c>
      <c r="O40" s="258">
        <f t="shared" si="39"/>
        <v>22.27</v>
      </c>
      <c r="P40" s="258">
        <f t="shared" si="39"/>
        <v>22.27</v>
      </c>
      <c r="Q40" s="258">
        <f t="shared" si="39"/>
        <v>22.27</v>
      </c>
      <c r="R40" s="258">
        <f t="shared" si="39"/>
        <v>22.27</v>
      </c>
      <c r="S40" s="258">
        <f t="shared" si="39"/>
        <v>22.27</v>
      </c>
      <c r="T40" s="258">
        <f t="shared" si="39"/>
        <v>22.27</v>
      </c>
      <c r="U40" s="258">
        <f t="shared" si="39"/>
        <v>22.27</v>
      </c>
      <c r="V40" s="268"/>
      <c r="W40" s="258">
        <f t="shared" si="39"/>
        <v>22.715399999999999</v>
      </c>
      <c r="X40" s="258">
        <f t="shared" ref="X40:AH40" si="40">+X39+X37</f>
        <v>22.715399999999999</v>
      </c>
      <c r="Y40" s="258">
        <f t="shared" si="40"/>
        <v>22.715399999999999</v>
      </c>
      <c r="Z40" s="258">
        <f t="shared" si="40"/>
        <v>22.715399999999999</v>
      </c>
      <c r="AA40" s="258">
        <f t="shared" si="40"/>
        <v>22.715399999999999</v>
      </c>
      <c r="AB40" s="258">
        <f t="shared" si="40"/>
        <v>22.715399999999999</v>
      </c>
      <c r="AC40" s="258">
        <f t="shared" si="40"/>
        <v>22.715399999999999</v>
      </c>
      <c r="AD40" s="258">
        <f t="shared" si="40"/>
        <v>22.715399999999999</v>
      </c>
      <c r="AE40" s="258">
        <f t="shared" si="40"/>
        <v>22.715399999999999</v>
      </c>
      <c r="AF40" s="258">
        <f t="shared" si="40"/>
        <v>22.715399999999999</v>
      </c>
      <c r="AG40" s="258">
        <f t="shared" si="40"/>
        <v>22.715399999999999</v>
      </c>
      <c r="AH40" s="258">
        <f t="shared" si="40"/>
        <v>22.715399999999999</v>
      </c>
      <c r="AI40" s="268"/>
      <c r="AJ40" s="258">
        <f t="shared" ref="AJ40:AU40" si="41">+AJ39+AJ37</f>
        <v>23.851170000000003</v>
      </c>
      <c r="AK40" s="258">
        <f t="shared" si="41"/>
        <v>23.851170000000003</v>
      </c>
      <c r="AL40" s="258">
        <f t="shared" si="41"/>
        <v>23.851170000000003</v>
      </c>
      <c r="AM40" s="258">
        <f t="shared" si="41"/>
        <v>23.851170000000003</v>
      </c>
      <c r="AN40" s="258">
        <f t="shared" si="41"/>
        <v>23.851170000000003</v>
      </c>
      <c r="AO40" s="258">
        <f t="shared" si="41"/>
        <v>23.851170000000003</v>
      </c>
      <c r="AP40" s="258">
        <f t="shared" si="41"/>
        <v>23.851170000000003</v>
      </c>
      <c r="AQ40" s="258">
        <f t="shared" si="41"/>
        <v>23.851170000000003</v>
      </c>
      <c r="AR40" s="258">
        <f t="shared" si="41"/>
        <v>23.851170000000003</v>
      </c>
      <c r="AS40" s="258">
        <f t="shared" si="41"/>
        <v>23.851170000000003</v>
      </c>
      <c r="AT40" s="258">
        <f t="shared" si="41"/>
        <v>23.851170000000003</v>
      </c>
      <c r="AU40" s="258">
        <f t="shared" si="41"/>
        <v>23.851170000000003</v>
      </c>
      <c r="AV40" s="206"/>
    </row>
    <row r="41" spans="2:48">
      <c r="B41" s="223"/>
      <c r="C41" s="210"/>
      <c r="D41" s="210"/>
      <c r="E41" s="210"/>
      <c r="F41" s="210"/>
      <c r="G41" s="210"/>
      <c r="H41" s="210"/>
      <c r="I41" s="210"/>
      <c r="J41" s="506"/>
      <c r="K41" s="210"/>
      <c r="L41" s="210"/>
      <c r="M41" s="210"/>
      <c r="N41" s="210"/>
      <c r="O41" s="210"/>
      <c r="P41" s="210"/>
      <c r="Q41" s="210"/>
      <c r="R41" s="210"/>
      <c r="S41" s="210"/>
      <c r="T41" s="210"/>
      <c r="U41" s="505">
        <f>SUM(J40:U40)</f>
        <v>267.24000000000007</v>
      </c>
      <c r="W41" s="210"/>
      <c r="X41" s="210"/>
      <c r="Y41" s="210"/>
      <c r="Z41" s="210"/>
      <c r="AA41" s="210"/>
      <c r="AB41" s="210"/>
      <c r="AC41" s="210"/>
      <c r="AD41" s="210"/>
      <c r="AE41" s="210"/>
      <c r="AF41" s="210"/>
      <c r="AG41" s="210"/>
      <c r="AH41" s="505">
        <f>SUM(W40:AH40)</f>
        <v>272.58479999999992</v>
      </c>
      <c r="AJ41" s="210"/>
      <c r="AK41" s="210"/>
      <c r="AL41" s="210"/>
      <c r="AM41" s="210"/>
      <c r="AN41" s="210"/>
      <c r="AO41" s="210"/>
      <c r="AP41" s="210"/>
      <c r="AQ41" s="210"/>
      <c r="AR41" s="210"/>
      <c r="AS41" s="210"/>
      <c r="AT41" s="210"/>
      <c r="AU41" s="505">
        <f>SUM(AJ40:AU40)</f>
        <v>286.21404000000001</v>
      </c>
      <c r="AV41" s="224"/>
    </row>
    <row r="42" spans="2:48">
      <c r="J42" s="204"/>
      <c r="K42" s="204"/>
      <c r="L42" s="204"/>
      <c r="M42" s="204"/>
      <c r="N42" s="204"/>
      <c r="O42" s="204"/>
      <c r="P42" s="204"/>
      <c r="Q42" s="204"/>
      <c r="R42" s="204"/>
      <c r="S42" s="204"/>
      <c r="T42" s="204"/>
      <c r="W42" s="211"/>
      <c r="X42" s="204"/>
      <c r="AH42" s="204">
        <f>AH41-(AH41/123*115)</f>
        <v>17.729092682926847</v>
      </c>
    </row>
    <row r="43" spans="2:48">
      <c r="C43" s="260"/>
      <c r="D43" s="261" t="s">
        <v>445</v>
      </c>
      <c r="E43" s="261"/>
      <c r="F43" s="262"/>
      <c r="G43" s="263"/>
      <c r="H43" s="201"/>
      <c r="I43" s="201"/>
      <c r="J43" s="267">
        <f>SUMIF($E$7:$E$34,"=Ext.",J7:J34)</f>
        <v>1.5</v>
      </c>
      <c r="K43" s="267">
        <f t="shared" ref="K43:U43" si="42">SUMIF($E$7:$E$35,"=Ext.",K7:K35)</f>
        <v>1.5</v>
      </c>
      <c r="L43" s="267">
        <f t="shared" si="42"/>
        <v>1.5</v>
      </c>
      <c r="M43" s="267">
        <f t="shared" si="42"/>
        <v>1.5</v>
      </c>
      <c r="N43" s="267">
        <f t="shared" si="42"/>
        <v>1.5</v>
      </c>
      <c r="O43" s="267">
        <f t="shared" si="42"/>
        <v>1.5</v>
      </c>
      <c r="P43" s="267">
        <f t="shared" si="42"/>
        <v>1.5</v>
      </c>
      <c r="Q43" s="267">
        <f t="shared" si="42"/>
        <v>1.5</v>
      </c>
      <c r="R43" s="267">
        <f t="shared" si="42"/>
        <v>1.5</v>
      </c>
      <c r="S43" s="267">
        <f t="shared" si="42"/>
        <v>1.5</v>
      </c>
      <c r="T43" s="267">
        <f t="shared" si="42"/>
        <v>1.5</v>
      </c>
      <c r="U43" s="267">
        <f t="shared" si="42"/>
        <v>1.5</v>
      </c>
      <c r="V43" s="268"/>
      <c r="W43" s="267">
        <f t="shared" ref="W43:AH43" si="43">SUMIF($E$7:$E$35,"=Ext.",W7:W35)</f>
        <v>1.53</v>
      </c>
      <c r="X43" s="267">
        <f t="shared" si="43"/>
        <v>1.53</v>
      </c>
      <c r="Y43" s="267">
        <f t="shared" si="43"/>
        <v>1.53</v>
      </c>
      <c r="Z43" s="267">
        <f t="shared" si="43"/>
        <v>1.53</v>
      </c>
      <c r="AA43" s="267">
        <f t="shared" si="43"/>
        <v>1.53</v>
      </c>
      <c r="AB43" s="267">
        <f t="shared" si="43"/>
        <v>1.53</v>
      </c>
      <c r="AC43" s="267">
        <f t="shared" si="43"/>
        <v>1.53</v>
      </c>
      <c r="AD43" s="267">
        <f t="shared" si="43"/>
        <v>1.53</v>
      </c>
      <c r="AE43" s="267">
        <f t="shared" si="43"/>
        <v>1.53</v>
      </c>
      <c r="AF43" s="267">
        <f t="shared" si="43"/>
        <v>1.53</v>
      </c>
      <c r="AG43" s="267">
        <f t="shared" si="43"/>
        <v>1.53</v>
      </c>
      <c r="AH43" s="267">
        <f t="shared" si="43"/>
        <v>1.53</v>
      </c>
      <c r="AI43" s="268"/>
      <c r="AJ43" s="267">
        <f t="shared" ref="AJ43:AU43" si="44">SUMIF($E$7:$E$35,"=Ext.",AJ7:AJ35)</f>
        <v>1.6065000000000003</v>
      </c>
      <c r="AK43" s="267">
        <f t="shared" si="44"/>
        <v>1.6065000000000003</v>
      </c>
      <c r="AL43" s="267">
        <f t="shared" si="44"/>
        <v>1.6065000000000003</v>
      </c>
      <c r="AM43" s="267">
        <f t="shared" si="44"/>
        <v>1.6065000000000003</v>
      </c>
      <c r="AN43" s="267">
        <f t="shared" si="44"/>
        <v>1.6065000000000003</v>
      </c>
      <c r="AO43" s="267">
        <f t="shared" si="44"/>
        <v>1.6065000000000003</v>
      </c>
      <c r="AP43" s="267">
        <f t="shared" si="44"/>
        <v>1.6065000000000003</v>
      </c>
      <c r="AQ43" s="267">
        <f t="shared" si="44"/>
        <v>1.6065000000000003</v>
      </c>
      <c r="AR43" s="267">
        <f t="shared" si="44"/>
        <v>1.6065000000000003</v>
      </c>
      <c r="AS43" s="267">
        <f t="shared" si="44"/>
        <v>1.6065000000000003</v>
      </c>
      <c r="AT43" s="267">
        <f t="shared" si="44"/>
        <v>1.6065000000000003</v>
      </c>
      <c r="AU43" s="267">
        <f t="shared" si="44"/>
        <v>1.6065000000000003</v>
      </c>
    </row>
    <row r="44" spans="2:48">
      <c r="C44" s="260"/>
      <c r="D44" s="261" t="s">
        <v>443</v>
      </c>
      <c r="E44" s="261"/>
      <c r="F44" s="262"/>
      <c r="G44" s="263"/>
      <c r="H44" s="201"/>
      <c r="I44" s="201"/>
      <c r="J44" s="267">
        <f>SUMIF($E$7:$E$34,"=GF",J7:J34)</f>
        <v>10</v>
      </c>
      <c r="K44" s="267">
        <f t="shared" ref="K44:AU44" si="45">SUMIF($E$7:$E$34,"=GF",K7:K34)</f>
        <v>10</v>
      </c>
      <c r="L44" s="267">
        <f t="shared" si="45"/>
        <v>10</v>
      </c>
      <c r="M44" s="267">
        <f t="shared" si="45"/>
        <v>10</v>
      </c>
      <c r="N44" s="267">
        <f t="shared" si="45"/>
        <v>10</v>
      </c>
      <c r="O44" s="267">
        <f t="shared" si="45"/>
        <v>10</v>
      </c>
      <c r="P44" s="267">
        <f t="shared" si="45"/>
        <v>10</v>
      </c>
      <c r="Q44" s="267">
        <f t="shared" si="45"/>
        <v>10</v>
      </c>
      <c r="R44" s="267">
        <f t="shared" si="45"/>
        <v>10</v>
      </c>
      <c r="S44" s="267">
        <f t="shared" si="45"/>
        <v>10</v>
      </c>
      <c r="T44" s="267">
        <f t="shared" si="45"/>
        <v>10</v>
      </c>
      <c r="U44" s="267">
        <f t="shared" si="45"/>
        <v>10</v>
      </c>
      <c r="V44" s="259"/>
      <c r="W44" s="267">
        <f t="shared" si="45"/>
        <v>10.199999999999999</v>
      </c>
      <c r="X44" s="267">
        <f t="shared" si="45"/>
        <v>10.199999999999999</v>
      </c>
      <c r="Y44" s="267">
        <f t="shared" si="45"/>
        <v>10.199999999999999</v>
      </c>
      <c r="Z44" s="267">
        <f t="shared" si="45"/>
        <v>10.199999999999999</v>
      </c>
      <c r="AA44" s="267">
        <f t="shared" si="45"/>
        <v>10.199999999999999</v>
      </c>
      <c r="AB44" s="267">
        <f t="shared" si="45"/>
        <v>10.199999999999999</v>
      </c>
      <c r="AC44" s="267">
        <f t="shared" si="45"/>
        <v>10.199999999999999</v>
      </c>
      <c r="AD44" s="267">
        <f t="shared" si="45"/>
        <v>10.199999999999999</v>
      </c>
      <c r="AE44" s="267">
        <f t="shared" si="45"/>
        <v>10.199999999999999</v>
      </c>
      <c r="AF44" s="267">
        <f t="shared" si="45"/>
        <v>10.199999999999999</v>
      </c>
      <c r="AG44" s="267">
        <f t="shared" si="45"/>
        <v>10.199999999999999</v>
      </c>
      <c r="AH44" s="267">
        <f t="shared" si="45"/>
        <v>10.199999999999999</v>
      </c>
      <c r="AI44" s="259"/>
      <c r="AJ44" s="267">
        <f t="shared" si="45"/>
        <v>10.71</v>
      </c>
      <c r="AK44" s="267">
        <f t="shared" si="45"/>
        <v>10.71</v>
      </c>
      <c r="AL44" s="267">
        <f t="shared" si="45"/>
        <v>10.71</v>
      </c>
      <c r="AM44" s="267">
        <f t="shared" si="45"/>
        <v>10.71</v>
      </c>
      <c r="AN44" s="267">
        <f t="shared" si="45"/>
        <v>10.71</v>
      </c>
      <c r="AO44" s="267">
        <f t="shared" si="45"/>
        <v>10.71</v>
      </c>
      <c r="AP44" s="267">
        <f t="shared" si="45"/>
        <v>10.71</v>
      </c>
      <c r="AQ44" s="267">
        <f t="shared" si="45"/>
        <v>10.71</v>
      </c>
      <c r="AR44" s="267">
        <f t="shared" si="45"/>
        <v>10.71</v>
      </c>
      <c r="AS44" s="267">
        <f t="shared" si="45"/>
        <v>10.71</v>
      </c>
      <c r="AT44" s="267">
        <f t="shared" si="45"/>
        <v>10.71</v>
      </c>
      <c r="AU44" s="267">
        <f t="shared" si="45"/>
        <v>10.71</v>
      </c>
    </row>
    <row r="45" spans="2:48">
      <c r="C45" s="260"/>
      <c r="D45" s="261" t="s">
        <v>444</v>
      </c>
      <c r="E45" s="261"/>
      <c r="F45" s="262"/>
      <c r="G45" s="263"/>
      <c r="J45" s="267">
        <f>J37-J44-J43</f>
        <v>7</v>
      </c>
      <c r="K45" s="267">
        <f t="shared" ref="K45:U45" si="46">K37-K44-K43</f>
        <v>7</v>
      </c>
      <c r="L45" s="267">
        <f t="shared" si="46"/>
        <v>7</v>
      </c>
      <c r="M45" s="267">
        <f t="shared" si="46"/>
        <v>7</v>
      </c>
      <c r="N45" s="267">
        <f t="shared" si="46"/>
        <v>7</v>
      </c>
      <c r="O45" s="267">
        <f t="shared" si="46"/>
        <v>7</v>
      </c>
      <c r="P45" s="267">
        <f t="shared" si="46"/>
        <v>7</v>
      </c>
      <c r="Q45" s="267">
        <f t="shared" si="46"/>
        <v>7</v>
      </c>
      <c r="R45" s="267">
        <f t="shared" si="46"/>
        <v>7</v>
      </c>
      <c r="S45" s="267">
        <f t="shared" si="46"/>
        <v>7</v>
      </c>
      <c r="T45" s="267">
        <f t="shared" si="46"/>
        <v>7</v>
      </c>
      <c r="U45" s="267">
        <f t="shared" si="46"/>
        <v>7</v>
      </c>
      <c r="V45" s="212"/>
      <c r="W45" s="267">
        <f>W37-W44-W43</f>
        <v>7.1399999999999979</v>
      </c>
      <c r="X45" s="267">
        <f t="shared" ref="X45:AH45" si="47">X37-X44-X43</f>
        <v>7.1399999999999979</v>
      </c>
      <c r="Y45" s="267">
        <f t="shared" si="47"/>
        <v>7.1399999999999979</v>
      </c>
      <c r="Z45" s="267">
        <f t="shared" si="47"/>
        <v>7.1399999999999979</v>
      </c>
      <c r="AA45" s="267">
        <f t="shared" si="47"/>
        <v>7.1399999999999979</v>
      </c>
      <c r="AB45" s="267">
        <f t="shared" si="47"/>
        <v>7.1399999999999979</v>
      </c>
      <c r="AC45" s="267">
        <f t="shared" si="47"/>
        <v>7.1399999999999979</v>
      </c>
      <c r="AD45" s="267">
        <f t="shared" si="47"/>
        <v>7.1399999999999979</v>
      </c>
      <c r="AE45" s="267">
        <f t="shared" si="47"/>
        <v>7.1399999999999979</v>
      </c>
      <c r="AF45" s="267">
        <f t="shared" si="47"/>
        <v>7.1399999999999979</v>
      </c>
      <c r="AG45" s="267">
        <f t="shared" si="47"/>
        <v>7.1399999999999979</v>
      </c>
      <c r="AH45" s="267">
        <f t="shared" si="47"/>
        <v>7.1399999999999979</v>
      </c>
      <c r="AI45" s="212"/>
      <c r="AJ45" s="267">
        <f>AJ37-AJ44-AJ43</f>
        <v>7.4969999999999999</v>
      </c>
      <c r="AK45" s="267">
        <f t="shared" ref="AK45:AU45" si="48">AK37-AK44-AK43</f>
        <v>7.4969999999999999</v>
      </c>
      <c r="AL45" s="267">
        <f t="shared" si="48"/>
        <v>7.4969999999999999</v>
      </c>
      <c r="AM45" s="267">
        <f t="shared" si="48"/>
        <v>7.4969999999999999</v>
      </c>
      <c r="AN45" s="267">
        <f t="shared" si="48"/>
        <v>7.4969999999999999</v>
      </c>
      <c r="AO45" s="267">
        <f t="shared" si="48"/>
        <v>7.4969999999999999</v>
      </c>
      <c r="AP45" s="267">
        <f t="shared" si="48"/>
        <v>7.4969999999999999</v>
      </c>
      <c r="AQ45" s="267">
        <f t="shared" si="48"/>
        <v>7.4969999999999999</v>
      </c>
      <c r="AR45" s="267">
        <f t="shared" si="48"/>
        <v>7.4969999999999999</v>
      </c>
      <c r="AS45" s="267">
        <f t="shared" si="48"/>
        <v>7.4969999999999999</v>
      </c>
      <c r="AT45" s="267">
        <f t="shared" si="48"/>
        <v>7.4969999999999999</v>
      </c>
      <c r="AU45" s="267">
        <f t="shared" si="48"/>
        <v>7.4969999999999999</v>
      </c>
    </row>
    <row r="48" spans="2:48">
      <c r="C48" s="1006" t="s">
        <v>382</v>
      </c>
      <c r="D48" s="1006"/>
      <c r="E48" s="1006"/>
      <c r="F48" s="1006"/>
      <c r="G48" s="1006"/>
    </row>
    <row r="49" spans="3:4">
      <c r="C49" s="202" t="s">
        <v>560</v>
      </c>
    </row>
    <row r="50" spans="3:4">
      <c r="C50" s="196" t="s">
        <v>446</v>
      </c>
    </row>
    <row r="51" spans="3:4">
      <c r="C51" s="196" t="s">
        <v>448</v>
      </c>
    </row>
    <row r="52" spans="3:4">
      <c r="C52" s="196" t="s">
        <v>562</v>
      </c>
    </row>
    <row r="53" spans="3:4" ht="14" thickBot="1">
      <c r="C53" s="196" t="s">
        <v>449</v>
      </c>
    </row>
    <row r="54" spans="3:4">
      <c r="C54" s="1185"/>
      <c r="D54" s="196" t="s">
        <v>561</v>
      </c>
    </row>
    <row r="55" spans="3:4">
      <c r="C55" s="202" t="s">
        <v>450</v>
      </c>
    </row>
    <row r="56" spans="3:4">
      <c r="C56" s="196" t="s">
        <v>451</v>
      </c>
    </row>
    <row r="57" spans="3:4">
      <c r="C57" s="202" t="s">
        <v>452</v>
      </c>
    </row>
    <row r="58" spans="3:4">
      <c r="C58" s="196" t="s">
        <v>453</v>
      </c>
    </row>
    <row r="59" spans="3:4">
      <c r="C59" s="202" t="s">
        <v>454</v>
      </c>
    </row>
    <row r="60" spans="3:4">
      <c r="C60" s="196" t="s">
        <v>455</v>
      </c>
    </row>
    <row r="61" spans="3:4">
      <c r="C61" s="196" t="s">
        <v>456</v>
      </c>
    </row>
  </sheetData>
  <mergeCells count="66">
    <mergeCell ref="P3:Q3"/>
    <mergeCell ref="AC3:AD3"/>
    <mergeCell ref="AP3:AQ3"/>
    <mergeCell ref="C5:G5"/>
    <mergeCell ref="J5:U5"/>
    <mergeCell ref="W5:AH5"/>
    <mergeCell ref="AJ5:AU5"/>
    <mergeCell ref="C7:C8"/>
    <mergeCell ref="D7:D8"/>
    <mergeCell ref="F7:F8"/>
    <mergeCell ref="G7:G8"/>
    <mergeCell ref="C9:C10"/>
    <mergeCell ref="D9:D10"/>
    <mergeCell ref="F9:F10"/>
    <mergeCell ref="G9:G10"/>
    <mergeCell ref="C13:C14"/>
    <mergeCell ref="D13:D14"/>
    <mergeCell ref="F13:F14"/>
    <mergeCell ref="G13:G14"/>
    <mergeCell ref="C11:C12"/>
    <mergeCell ref="D11:D12"/>
    <mergeCell ref="F11:F12"/>
    <mergeCell ref="G11:G12"/>
    <mergeCell ref="C17:C18"/>
    <mergeCell ref="D17:D18"/>
    <mergeCell ref="F17:F18"/>
    <mergeCell ref="G17:G18"/>
    <mergeCell ref="C15:C16"/>
    <mergeCell ref="D15:D16"/>
    <mergeCell ref="F15:F16"/>
    <mergeCell ref="G15:G16"/>
    <mergeCell ref="C21:C22"/>
    <mergeCell ref="D21:D22"/>
    <mergeCell ref="F21:F22"/>
    <mergeCell ref="G21:G22"/>
    <mergeCell ref="C19:C20"/>
    <mergeCell ref="D19:D20"/>
    <mergeCell ref="F19:F20"/>
    <mergeCell ref="G19:G20"/>
    <mergeCell ref="C25:C26"/>
    <mergeCell ref="D25:D26"/>
    <mergeCell ref="F25:F26"/>
    <mergeCell ref="G25:G26"/>
    <mergeCell ref="C23:C24"/>
    <mergeCell ref="D23:D24"/>
    <mergeCell ref="F23:F24"/>
    <mergeCell ref="G23:G24"/>
    <mergeCell ref="C27:C28"/>
    <mergeCell ref="D27:D28"/>
    <mergeCell ref="F27:F28"/>
    <mergeCell ref="G27:G28"/>
    <mergeCell ref="C31:C32"/>
    <mergeCell ref="D31:D32"/>
    <mergeCell ref="E31:E32"/>
    <mergeCell ref="F31:F32"/>
    <mergeCell ref="G31:G32"/>
    <mergeCell ref="C29:C30"/>
    <mergeCell ref="D29:D30"/>
    <mergeCell ref="E29:E30"/>
    <mergeCell ref="F29:F30"/>
    <mergeCell ref="G29:G30"/>
    <mergeCell ref="C33:C34"/>
    <mergeCell ref="D33:D34"/>
    <mergeCell ref="E33:E34"/>
    <mergeCell ref="F33:F34"/>
    <mergeCell ref="G33:G34"/>
  </mergeCells>
  <pageMargins left="0.7" right="0.7" top="0.75" bottom="0.75" header="0.3" footer="0.3"/>
  <pageSetup paperSize="10" scale="44" orientation="landscape" horizontalDpi="4294967292" verticalDpi="4294967292"/>
  <headerFooter>
    <oddFooter>&amp;L&amp;"Lucida Grande,Standard"Business Case&amp;C&amp;"Lucida Grande,Standard"&amp;F&amp;R&amp;"Arial,Standard"&amp;D Seite &amp;P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T72"/>
  <sheetViews>
    <sheetView showGridLines="0" defaultGridColor="0" topLeftCell="A2" colorId="17" zoomScale="140" zoomScaleNormal="140" workbookViewId="0">
      <pane xSplit="3" ySplit="5" topLeftCell="D26" activePane="bottomRight" state="frozen"/>
      <selection activeCell="H20" sqref="H20"/>
      <selection pane="topRight" activeCell="H20" sqref="H20"/>
      <selection pane="bottomLeft" activeCell="H20" sqref="H20"/>
      <selection pane="bottomRight" activeCell="AT69" sqref="AT69"/>
    </sheetView>
  </sheetViews>
  <sheetFormatPr baseColWidth="10" defaultColWidth="10.796875" defaultRowHeight="13"/>
  <cols>
    <col min="1" max="2" width="2.796875" style="196" customWidth="1"/>
    <col min="3" max="3" width="41" style="196" hidden="1" customWidth="1"/>
    <col min="4" max="4" width="41" style="196" customWidth="1"/>
    <col min="5" max="5" width="1.59765625" style="196" customWidth="1"/>
    <col min="6" max="17" width="8.19921875" style="196" customWidth="1"/>
    <col min="18" max="18" width="9.19921875" style="196" customWidth="1"/>
    <col min="19" max="19" width="2" style="196" customWidth="1"/>
    <col min="20" max="31" width="8.19921875" style="196" customWidth="1"/>
    <col min="32" max="32" width="10.19921875" style="196" customWidth="1"/>
    <col min="33" max="33" width="2.3984375" style="196" customWidth="1"/>
    <col min="34" max="45" width="8.19921875" style="196" customWidth="1"/>
    <col min="46" max="46" width="8.59765625" style="196" customWidth="1"/>
    <col min="47" max="16384" width="10.796875" style="196"/>
  </cols>
  <sheetData>
    <row r="2" spans="2:46" s="202" customFormat="1" ht="17" customHeight="1">
      <c r="B2" s="1265" t="s">
        <v>429</v>
      </c>
      <c r="C2" s="1266"/>
      <c r="D2" s="1266"/>
      <c r="E2" s="1266"/>
      <c r="F2" s="1266"/>
      <c r="G2" s="1266"/>
      <c r="H2" s="1266"/>
      <c r="I2" s="1266"/>
      <c r="J2" s="1266"/>
      <c r="K2" s="1266"/>
      <c r="L2" s="1266"/>
      <c r="M2" s="1266"/>
      <c r="N2" s="1266"/>
      <c r="O2" s="1266"/>
      <c r="P2" s="1266"/>
      <c r="Q2" s="1266"/>
      <c r="R2" s="1266"/>
      <c r="S2" s="1267"/>
      <c r="T2" s="963"/>
      <c r="U2" s="963"/>
      <c r="V2" s="963"/>
      <c r="W2" s="963"/>
      <c r="X2" s="963"/>
      <c r="Y2" s="963"/>
      <c r="Z2" s="963"/>
      <c r="AA2" s="963"/>
      <c r="AB2" s="963"/>
      <c r="AC2" s="963"/>
      <c r="AD2" s="963"/>
      <c r="AE2" s="963"/>
      <c r="AF2" s="963"/>
      <c r="AG2" s="964"/>
      <c r="AH2" s="963"/>
      <c r="AI2" s="963"/>
      <c r="AJ2" s="963"/>
      <c r="AK2" s="963"/>
      <c r="AL2" s="963"/>
      <c r="AM2" s="963"/>
      <c r="AN2" s="963"/>
      <c r="AO2" s="963"/>
      <c r="AP2" s="963"/>
      <c r="AQ2" s="963"/>
      <c r="AR2" s="963"/>
      <c r="AS2" s="963"/>
      <c r="AT2" s="965"/>
    </row>
    <row r="3" spans="2:46" ht="16">
      <c r="B3" s="966"/>
      <c r="C3" s="215" t="str">
        <f>+Parameter!D4&amp;", "&amp;Parameter!D15</f>
        <v>company name, Location</v>
      </c>
      <c r="D3" s="215"/>
      <c r="E3" s="270"/>
      <c r="J3" s="271"/>
      <c r="K3" s="271"/>
      <c r="L3" s="967"/>
      <c r="M3" s="968" t="s">
        <v>474</v>
      </c>
      <c r="N3" s="969"/>
      <c r="O3" s="271"/>
      <c r="P3" s="271"/>
      <c r="Q3" s="271"/>
      <c r="R3" s="270"/>
      <c r="S3" s="657"/>
      <c r="X3" s="271"/>
      <c r="Y3" s="271"/>
      <c r="Z3" s="967"/>
      <c r="AA3" s="968" t="s">
        <v>474</v>
      </c>
      <c r="AB3" s="969"/>
      <c r="AC3" s="271"/>
      <c r="AD3" s="271"/>
      <c r="AE3" s="271"/>
      <c r="AF3" s="270"/>
      <c r="AL3" s="271"/>
      <c r="AM3" s="271"/>
      <c r="AN3" s="967"/>
      <c r="AO3" s="968" t="s">
        <v>474</v>
      </c>
      <c r="AP3" s="969"/>
      <c r="AQ3" s="271"/>
      <c r="AR3" s="271"/>
      <c r="AS3" s="271"/>
      <c r="AT3" s="970"/>
    </row>
    <row r="4" spans="2:46" ht="14" customHeight="1">
      <c r="B4" s="966"/>
      <c r="E4" s="272"/>
      <c r="R4" s="272"/>
      <c r="S4" s="657"/>
      <c r="AF4" s="272"/>
      <c r="AJ4" s="219"/>
      <c r="AT4" s="971"/>
    </row>
    <row r="5" spans="2:46" ht="15.75" customHeight="1">
      <c r="B5" s="966"/>
      <c r="F5" s="1271" t="str">
        <f>Parameter!$D$8&amp;" "&amp;Parameter!D6</f>
        <v>Year 2023</v>
      </c>
      <c r="G5" s="1272"/>
      <c r="H5" s="1272"/>
      <c r="I5" s="1272"/>
      <c r="J5" s="1272"/>
      <c r="K5" s="1272"/>
      <c r="L5" s="1272"/>
      <c r="M5" s="1272"/>
      <c r="N5" s="1272"/>
      <c r="O5" s="1272"/>
      <c r="P5" s="1272"/>
      <c r="Q5" s="1272"/>
      <c r="R5" s="1273"/>
      <c r="S5" s="657"/>
      <c r="T5" s="1268" t="str">
        <f>Parameter!$D$8&amp;" "&amp;Parameter!E6</f>
        <v>Year 2024</v>
      </c>
      <c r="U5" s="1269"/>
      <c r="V5" s="1269"/>
      <c r="W5" s="1269"/>
      <c r="X5" s="1269"/>
      <c r="Y5" s="1269"/>
      <c r="Z5" s="1269"/>
      <c r="AA5" s="1269"/>
      <c r="AB5" s="1269"/>
      <c r="AC5" s="1269"/>
      <c r="AD5" s="1269"/>
      <c r="AE5" s="1269"/>
      <c r="AF5" s="1270"/>
      <c r="AH5" s="1271" t="str">
        <f>Parameter!$D$8&amp;" "&amp;Parameter!F6</f>
        <v>Year 2025</v>
      </c>
      <c r="AI5" s="1272"/>
      <c r="AJ5" s="1272"/>
      <c r="AK5" s="1272"/>
      <c r="AL5" s="1272"/>
      <c r="AM5" s="1272"/>
      <c r="AN5" s="1272"/>
      <c r="AO5" s="1272"/>
      <c r="AP5" s="1272"/>
      <c r="AQ5" s="1272"/>
      <c r="AR5" s="1272"/>
      <c r="AS5" s="1272"/>
      <c r="AT5" s="1273"/>
    </row>
    <row r="6" spans="2:46" ht="18" customHeight="1" thickBot="1">
      <c r="B6" s="966"/>
      <c r="C6" s="945" t="s">
        <v>328</v>
      </c>
      <c r="D6" s="945" t="s">
        <v>405</v>
      </c>
      <c r="E6" s="983"/>
      <c r="F6" s="956" t="s">
        <v>4</v>
      </c>
      <c r="G6" s="957" t="s">
        <v>5</v>
      </c>
      <c r="H6" s="957" t="s">
        <v>6</v>
      </c>
      <c r="I6" s="957" t="s">
        <v>7</v>
      </c>
      <c r="J6" s="957" t="s">
        <v>8</v>
      </c>
      <c r="K6" s="957" t="s">
        <v>9</v>
      </c>
      <c r="L6" s="957" t="s">
        <v>10</v>
      </c>
      <c r="M6" s="957" t="s">
        <v>11</v>
      </c>
      <c r="N6" s="957" t="s">
        <v>12</v>
      </c>
      <c r="O6" s="957" t="s">
        <v>13</v>
      </c>
      <c r="P6" s="957" t="s">
        <v>2</v>
      </c>
      <c r="Q6" s="958" t="s">
        <v>3</v>
      </c>
      <c r="R6" s="949" t="s">
        <v>75</v>
      </c>
      <c r="S6" s="657"/>
      <c r="T6" s="946" t="s">
        <v>4</v>
      </c>
      <c r="U6" s="947" t="s">
        <v>5</v>
      </c>
      <c r="V6" s="947" t="s">
        <v>6</v>
      </c>
      <c r="W6" s="947" t="s">
        <v>7</v>
      </c>
      <c r="X6" s="947" t="s">
        <v>8</v>
      </c>
      <c r="Y6" s="947" t="s">
        <v>9</v>
      </c>
      <c r="Z6" s="947" t="s">
        <v>10</v>
      </c>
      <c r="AA6" s="947" t="s">
        <v>11</v>
      </c>
      <c r="AB6" s="947" t="s">
        <v>12</v>
      </c>
      <c r="AC6" s="947" t="s">
        <v>13</v>
      </c>
      <c r="AD6" s="947" t="s">
        <v>2</v>
      </c>
      <c r="AE6" s="948" t="s">
        <v>3</v>
      </c>
      <c r="AF6" s="949" t="s">
        <v>75</v>
      </c>
      <c r="AH6" s="956" t="s">
        <v>4</v>
      </c>
      <c r="AI6" s="957" t="s">
        <v>5</v>
      </c>
      <c r="AJ6" s="957" t="s">
        <v>6</v>
      </c>
      <c r="AK6" s="957" t="s">
        <v>7</v>
      </c>
      <c r="AL6" s="957" t="s">
        <v>8</v>
      </c>
      <c r="AM6" s="957" t="s">
        <v>9</v>
      </c>
      <c r="AN6" s="957" t="s">
        <v>10</v>
      </c>
      <c r="AO6" s="957" t="s">
        <v>11</v>
      </c>
      <c r="AP6" s="957" t="s">
        <v>12</v>
      </c>
      <c r="AQ6" s="957" t="s">
        <v>13</v>
      </c>
      <c r="AR6" s="957" t="s">
        <v>2</v>
      </c>
      <c r="AS6" s="958" t="s">
        <v>3</v>
      </c>
      <c r="AT6" s="949" t="s">
        <v>274</v>
      </c>
    </row>
    <row r="7" spans="2:46">
      <c r="B7" s="966"/>
      <c r="C7" s="1010" t="s">
        <v>329</v>
      </c>
      <c r="D7" s="1010" t="s">
        <v>406</v>
      </c>
      <c r="E7" s="955"/>
      <c r="F7" s="1013">
        <v>1000</v>
      </c>
      <c r="G7" s="1013"/>
      <c r="H7" s="1013"/>
      <c r="I7" s="1013"/>
      <c r="J7" s="1013"/>
      <c r="K7" s="1013"/>
      <c r="L7" s="1013"/>
      <c r="M7" s="1013"/>
      <c r="N7" s="1013"/>
      <c r="O7" s="1013"/>
      <c r="P7" s="1013"/>
      <c r="Q7" s="1013"/>
      <c r="R7" s="955"/>
      <c r="S7" s="657"/>
      <c r="T7" s="1013"/>
      <c r="U7" s="1013">
        <v>1000</v>
      </c>
      <c r="V7" s="1013"/>
      <c r="W7" s="1013"/>
      <c r="X7" s="1013"/>
      <c r="Y7" s="1013"/>
      <c r="Z7" s="1013"/>
      <c r="AA7" s="1013"/>
      <c r="AB7" s="1013"/>
      <c r="AC7" s="1013"/>
      <c r="AD7" s="1013"/>
      <c r="AE7" s="1013"/>
      <c r="AF7" s="955"/>
      <c r="AH7" s="1013"/>
      <c r="AI7" s="1013"/>
      <c r="AJ7" s="1013">
        <v>1000</v>
      </c>
      <c r="AK7" s="1013"/>
      <c r="AL7" s="1013"/>
      <c r="AM7" s="1013"/>
      <c r="AN7" s="1013"/>
      <c r="AO7" s="1013"/>
      <c r="AP7" s="1013"/>
      <c r="AQ7" s="1013"/>
      <c r="AR7" s="1013"/>
      <c r="AS7" s="1013"/>
      <c r="AT7" s="972"/>
    </row>
    <row r="8" spans="2:46">
      <c r="B8" s="966"/>
      <c r="C8" s="1011"/>
      <c r="D8" s="1011"/>
      <c r="E8" s="955"/>
      <c r="F8" s="1014"/>
      <c r="G8" s="1014"/>
      <c r="H8" s="1014"/>
      <c r="I8" s="1014"/>
      <c r="J8" s="1014"/>
      <c r="K8" s="1014"/>
      <c r="L8" s="1014"/>
      <c r="M8" s="1014"/>
      <c r="N8" s="1014"/>
      <c r="O8" s="1014"/>
      <c r="P8" s="1014"/>
      <c r="Q8" s="1014"/>
      <c r="R8" s="955"/>
      <c r="S8" s="657"/>
      <c r="T8" s="1014"/>
      <c r="U8" s="1014"/>
      <c r="V8" s="1014"/>
      <c r="W8" s="1014"/>
      <c r="X8" s="1014"/>
      <c r="Y8" s="1014"/>
      <c r="Z8" s="1014"/>
      <c r="AA8" s="1014"/>
      <c r="AB8" s="1014"/>
      <c r="AC8" s="1014"/>
      <c r="AD8" s="1014"/>
      <c r="AE8" s="1014"/>
      <c r="AF8" s="955"/>
      <c r="AH8" s="1014"/>
      <c r="AI8" s="1014"/>
      <c r="AJ8" s="1014"/>
      <c r="AK8" s="1014"/>
      <c r="AL8" s="1014"/>
      <c r="AM8" s="1014"/>
      <c r="AN8" s="1014"/>
      <c r="AO8" s="1014"/>
      <c r="AP8" s="1014"/>
      <c r="AQ8" s="1014"/>
      <c r="AR8" s="1014"/>
      <c r="AS8" s="1014"/>
      <c r="AT8" s="972"/>
    </row>
    <row r="9" spans="2:46">
      <c r="B9" s="966"/>
      <c r="C9" s="1012"/>
      <c r="D9" s="1012"/>
      <c r="E9" s="955"/>
      <c r="F9" s="1015"/>
      <c r="G9" s="1015"/>
      <c r="H9" s="1015"/>
      <c r="I9" s="1015"/>
      <c r="J9" s="1015"/>
      <c r="K9" s="1015"/>
      <c r="L9" s="1015"/>
      <c r="M9" s="1015"/>
      <c r="N9" s="1015"/>
      <c r="O9" s="1015"/>
      <c r="P9" s="1015"/>
      <c r="Q9" s="1015"/>
      <c r="R9" s="955"/>
      <c r="S9" s="657"/>
      <c r="T9" s="1015"/>
      <c r="U9" s="1015"/>
      <c r="V9" s="1015"/>
      <c r="W9" s="1015"/>
      <c r="X9" s="1015"/>
      <c r="Y9" s="1015"/>
      <c r="Z9" s="1015"/>
      <c r="AA9" s="1015"/>
      <c r="AB9" s="1015"/>
      <c r="AC9" s="1015"/>
      <c r="AD9" s="1015"/>
      <c r="AE9" s="1015"/>
      <c r="AF9" s="955"/>
      <c r="AH9" s="1015"/>
      <c r="AI9" s="1015"/>
      <c r="AJ9" s="1015"/>
      <c r="AK9" s="1015"/>
      <c r="AL9" s="1015"/>
      <c r="AM9" s="1015"/>
      <c r="AN9" s="1015"/>
      <c r="AO9" s="1015"/>
      <c r="AP9" s="1015"/>
      <c r="AQ9" s="1015"/>
      <c r="AR9" s="1015"/>
      <c r="AS9" s="1015"/>
      <c r="AT9" s="972"/>
    </row>
    <row r="10" spans="2:46">
      <c r="B10" s="966"/>
      <c r="C10" s="953" t="s">
        <v>75</v>
      </c>
      <c r="D10" s="953" t="s">
        <v>274</v>
      </c>
      <c r="E10" s="973"/>
      <c r="F10" s="954">
        <f>SUM(F7:F9)</f>
        <v>1000</v>
      </c>
      <c r="G10" s="954">
        <f t="shared" ref="G10:Q10" si="0">SUM(G7:G9)</f>
        <v>0</v>
      </c>
      <c r="H10" s="954">
        <f t="shared" si="0"/>
        <v>0</v>
      </c>
      <c r="I10" s="954">
        <f t="shared" si="0"/>
        <v>0</v>
      </c>
      <c r="J10" s="954">
        <f t="shared" si="0"/>
        <v>0</v>
      </c>
      <c r="K10" s="954">
        <f t="shared" si="0"/>
        <v>0</v>
      </c>
      <c r="L10" s="954">
        <f t="shared" si="0"/>
        <v>0</v>
      </c>
      <c r="M10" s="954">
        <f t="shared" si="0"/>
        <v>0</v>
      </c>
      <c r="N10" s="954">
        <f t="shared" si="0"/>
        <v>0</v>
      </c>
      <c r="O10" s="954">
        <f t="shared" si="0"/>
        <v>0</v>
      </c>
      <c r="P10" s="954">
        <f t="shared" si="0"/>
        <v>0</v>
      </c>
      <c r="Q10" s="954">
        <f t="shared" si="0"/>
        <v>0</v>
      </c>
      <c r="R10" s="954">
        <f>SUM(F10:Q10)</f>
        <v>1000</v>
      </c>
      <c r="S10" s="659"/>
      <c r="T10" s="954">
        <f>SUM(T7:T9)</f>
        <v>0</v>
      </c>
      <c r="U10" s="954">
        <f t="shared" ref="U10:AE10" si="1">SUM(U7:U9)</f>
        <v>1000</v>
      </c>
      <c r="V10" s="954">
        <f t="shared" si="1"/>
        <v>0</v>
      </c>
      <c r="W10" s="954">
        <f t="shared" si="1"/>
        <v>0</v>
      </c>
      <c r="X10" s="954">
        <f t="shared" si="1"/>
        <v>0</v>
      </c>
      <c r="Y10" s="954">
        <f t="shared" si="1"/>
        <v>0</v>
      </c>
      <c r="Z10" s="954">
        <f t="shared" si="1"/>
        <v>0</v>
      </c>
      <c r="AA10" s="954">
        <f t="shared" si="1"/>
        <v>0</v>
      </c>
      <c r="AB10" s="954">
        <f t="shared" si="1"/>
        <v>0</v>
      </c>
      <c r="AC10" s="954">
        <f t="shared" si="1"/>
        <v>0</v>
      </c>
      <c r="AD10" s="954">
        <f t="shared" si="1"/>
        <v>0</v>
      </c>
      <c r="AE10" s="954">
        <f t="shared" si="1"/>
        <v>0</v>
      </c>
      <c r="AF10" s="954">
        <f>SUM(T10:AE10)</f>
        <v>1000</v>
      </c>
      <c r="AH10" s="954">
        <f>SUM(AH7:AH9)</f>
        <v>0</v>
      </c>
      <c r="AI10" s="954">
        <f t="shared" ref="AI10:AS10" si="2">SUM(AI7:AI9)</f>
        <v>0</v>
      </c>
      <c r="AJ10" s="954">
        <f t="shared" si="2"/>
        <v>1000</v>
      </c>
      <c r="AK10" s="954">
        <f t="shared" si="2"/>
        <v>0</v>
      </c>
      <c r="AL10" s="954">
        <f t="shared" si="2"/>
        <v>0</v>
      </c>
      <c r="AM10" s="954">
        <f t="shared" si="2"/>
        <v>0</v>
      </c>
      <c r="AN10" s="954">
        <f t="shared" si="2"/>
        <v>0</v>
      </c>
      <c r="AO10" s="954">
        <f t="shared" si="2"/>
        <v>0</v>
      </c>
      <c r="AP10" s="954">
        <f t="shared" si="2"/>
        <v>0</v>
      </c>
      <c r="AQ10" s="954">
        <f t="shared" si="2"/>
        <v>0</v>
      </c>
      <c r="AR10" s="954">
        <f t="shared" si="2"/>
        <v>0</v>
      </c>
      <c r="AS10" s="954">
        <f t="shared" si="2"/>
        <v>0</v>
      </c>
      <c r="AT10" s="974">
        <f>SUM(AH10:AS10)</f>
        <v>1000</v>
      </c>
    </row>
    <row r="11" spans="2:46" ht="14" customHeight="1">
      <c r="B11" s="966"/>
      <c r="E11" s="272"/>
      <c r="R11" s="272"/>
      <c r="S11" s="657"/>
      <c r="AF11" s="272"/>
      <c r="AT11" s="971"/>
    </row>
    <row r="12" spans="2:46" s="202" customFormat="1" ht="16">
      <c r="B12" s="975"/>
      <c r="C12" s="945" t="s">
        <v>261</v>
      </c>
      <c r="D12" s="945" t="s">
        <v>261</v>
      </c>
      <c r="F12" s="950" t="s">
        <v>262</v>
      </c>
      <c r="G12" s="951" t="s">
        <v>263</v>
      </c>
      <c r="H12" s="951" t="s">
        <v>6</v>
      </c>
      <c r="I12" s="951" t="s">
        <v>7</v>
      </c>
      <c r="J12" s="951" t="s">
        <v>8</v>
      </c>
      <c r="K12" s="951" t="s">
        <v>9</v>
      </c>
      <c r="L12" s="951" t="s">
        <v>10</v>
      </c>
      <c r="M12" s="951" t="s">
        <v>11</v>
      </c>
      <c r="N12" s="951" t="s">
        <v>12</v>
      </c>
      <c r="O12" s="951" t="s">
        <v>13</v>
      </c>
      <c r="P12" s="951" t="s">
        <v>2</v>
      </c>
      <c r="Q12" s="952" t="s">
        <v>3</v>
      </c>
      <c r="S12" s="658"/>
      <c r="T12" s="950" t="s">
        <v>4</v>
      </c>
      <c r="U12" s="951" t="s">
        <v>5</v>
      </c>
      <c r="V12" s="951" t="s">
        <v>6</v>
      </c>
      <c r="W12" s="951" t="s">
        <v>7</v>
      </c>
      <c r="X12" s="951" t="s">
        <v>8</v>
      </c>
      <c r="Y12" s="951" t="s">
        <v>9</v>
      </c>
      <c r="Z12" s="951" t="s">
        <v>10</v>
      </c>
      <c r="AA12" s="951" t="s">
        <v>11</v>
      </c>
      <c r="AB12" s="951" t="s">
        <v>12</v>
      </c>
      <c r="AC12" s="951" t="s">
        <v>13</v>
      </c>
      <c r="AD12" s="951" t="s">
        <v>2</v>
      </c>
      <c r="AE12" s="952" t="s">
        <v>3</v>
      </c>
      <c r="AH12" s="950" t="s">
        <v>4</v>
      </c>
      <c r="AI12" s="951" t="s">
        <v>5</v>
      </c>
      <c r="AJ12" s="951" t="s">
        <v>6</v>
      </c>
      <c r="AK12" s="951" t="s">
        <v>7</v>
      </c>
      <c r="AL12" s="951" t="s">
        <v>8</v>
      </c>
      <c r="AM12" s="951" t="s">
        <v>9</v>
      </c>
      <c r="AN12" s="951" t="s">
        <v>10</v>
      </c>
      <c r="AO12" s="951" t="s">
        <v>11</v>
      </c>
      <c r="AP12" s="951" t="s">
        <v>12</v>
      </c>
      <c r="AQ12" s="951" t="s">
        <v>13</v>
      </c>
      <c r="AR12" s="951" t="s">
        <v>2</v>
      </c>
      <c r="AS12" s="952" t="s">
        <v>3</v>
      </c>
      <c r="AT12" s="976"/>
    </row>
    <row r="13" spans="2:46">
      <c r="B13" s="966"/>
      <c r="C13" s="1010" t="s">
        <v>290</v>
      </c>
      <c r="D13" s="1010" t="s">
        <v>407</v>
      </c>
      <c r="E13" s="955"/>
      <c r="F13" s="1013">
        <v>500</v>
      </c>
      <c r="G13" s="1013"/>
      <c r="H13" s="1013"/>
      <c r="I13" s="1013"/>
      <c r="J13" s="1013"/>
      <c r="K13" s="1013"/>
      <c r="L13" s="1013"/>
      <c r="M13" s="1013"/>
      <c r="N13" s="1013"/>
      <c r="O13" s="1013"/>
      <c r="P13" s="1013"/>
      <c r="Q13" s="1013"/>
      <c r="R13" s="955"/>
      <c r="S13" s="657"/>
      <c r="T13" s="1013"/>
      <c r="U13" s="1013">
        <v>500</v>
      </c>
      <c r="V13" s="1013"/>
      <c r="W13" s="1013"/>
      <c r="X13" s="1013"/>
      <c r="Y13" s="1013"/>
      <c r="Z13" s="1013"/>
      <c r="AA13" s="1013"/>
      <c r="AB13" s="1013"/>
      <c r="AC13" s="1013"/>
      <c r="AD13" s="1013"/>
      <c r="AE13" s="1013"/>
      <c r="AF13" s="955"/>
      <c r="AH13" s="1013"/>
      <c r="AI13" s="1013"/>
      <c r="AJ13" s="1013">
        <v>500</v>
      </c>
      <c r="AK13" s="1013"/>
      <c r="AL13" s="1013"/>
      <c r="AM13" s="1013"/>
      <c r="AN13" s="1013"/>
      <c r="AO13" s="1013"/>
      <c r="AP13" s="1013"/>
      <c r="AQ13" s="1013"/>
      <c r="AR13" s="1013"/>
      <c r="AS13" s="1013"/>
      <c r="AT13" s="972"/>
    </row>
    <row r="14" spans="2:46">
      <c r="B14" s="966"/>
      <c r="C14" s="1010"/>
      <c r="D14" s="1010"/>
      <c r="E14" s="955"/>
      <c r="F14" s="1013"/>
      <c r="G14" s="1013"/>
      <c r="H14" s="1013"/>
      <c r="I14" s="1013"/>
      <c r="J14" s="1013"/>
      <c r="K14" s="1013"/>
      <c r="L14" s="1013"/>
      <c r="M14" s="1013"/>
      <c r="N14" s="1013"/>
      <c r="O14" s="1013"/>
      <c r="P14" s="1013"/>
      <c r="Q14" s="1013"/>
      <c r="R14" s="955"/>
      <c r="S14" s="657"/>
      <c r="T14" s="1013"/>
      <c r="U14" s="1013"/>
      <c r="V14" s="1013"/>
      <c r="W14" s="1013"/>
      <c r="X14" s="1013"/>
      <c r="Y14" s="1013"/>
      <c r="Z14" s="1013"/>
      <c r="AA14" s="1013"/>
      <c r="AB14" s="1013"/>
      <c r="AC14" s="1013"/>
      <c r="AD14" s="1013"/>
      <c r="AE14" s="1013"/>
      <c r="AF14" s="955"/>
      <c r="AH14" s="1013"/>
      <c r="AI14" s="1013"/>
      <c r="AJ14" s="1013"/>
      <c r="AK14" s="1013"/>
      <c r="AL14" s="1013"/>
      <c r="AM14" s="1013"/>
      <c r="AN14" s="1013"/>
      <c r="AO14" s="1013"/>
      <c r="AP14" s="1013"/>
      <c r="AQ14" s="1013"/>
      <c r="AR14" s="1013"/>
      <c r="AS14" s="1013"/>
      <c r="AT14" s="972"/>
    </row>
    <row r="15" spans="2:46">
      <c r="B15" s="966"/>
      <c r="C15" s="953" t="s">
        <v>75</v>
      </c>
      <c r="D15" s="953" t="s">
        <v>274</v>
      </c>
      <c r="E15" s="973"/>
      <c r="F15" s="954">
        <f>SUM(F13:F14)</f>
        <v>500</v>
      </c>
      <c r="G15" s="954">
        <f t="shared" ref="G15:Q15" si="3">SUM(G13:G14)</f>
        <v>0</v>
      </c>
      <c r="H15" s="954">
        <f t="shared" si="3"/>
        <v>0</v>
      </c>
      <c r="I15" s="954">
        <f t="shared" si="3"/>
        <v>0</v>
      </c>
      <c r="J15" s="954">
        <f t="shared" si="3"/>
        <v>0</v>
      </c>
      <c r="K15" s="954">
        <f t="shared" si="3"/>
        <v>0</v>
      </c>
      <c r="L15" s="954">
        <f t="shared" si="3"/>
        <v>0</v>
      </c>
      <c r="M15" s="954">
        <f t="shared" si="3"/>
        <v>0</v>
      </c>
      <c r="N15" s="954">
        <f t="shared" si="3"/>
        <v>0</v>
      </c>
      <c r="O15" s="954">
        <f t="shared" si="3"/>
        <v>0</v>
      </c>
      <c r="P15" s="954">
        <f t="shared" si="3"/>
        <v>0</v>
      </c>
      <c r="Q15" s="954">
        <f t="shared" si="3"/>
        <v>0</v>
      </c>
      <c r="R15" s="954">
        <f>SUM(F15:Q15)</f>
        <v>500</v>
      </c>
      <c r="S15" s="659"/>
      <c r="T15" s="954">
        <f t="shared" ref="T15:AE15" si="4">SUM(T13:T14)</f>
        <v>0</v>
      </c>
      <c r="U15" s="954">
        <f t="shared" si="4"/>
        <v>500</v>
      </c>
      <c r="V15" s="954">
        <f t="shared" si="4"/>
        <v>0</v>
      </c>
      <c r="W15" s="954">
        <f t="shared" si="4"/>
        <v>0</v>
      </c>
      <c r="X15" s="954">
        <f t="shared" si="4"/>
        <v>0</v>
      </c>
      <c r="Y15" s="954">
        <f t="shared" si="4"/>
        <v>0</v>
      </c>
      <c r="Z15" s="954">
        <f t="shared" si="4"/>
        <v>0</v>
      </c>
      <c r="AA15" s="954">
        <f t="shared" si="4"/>
        <v>0</v>
      </c>
      <c r="AB15" s="954">
        <f t="shared" si="4"/>
        <v>0</v>
      </c>
      <c r="AC15" s="954">
        <f t="shared" si="4"/>
        <v>0</v>
      </c>
      <c r="AD15" s="954">
        <f t="shared" si="4"/>
        <v>0</v>
      </c>
      <c r="AE15" s="954">
        <f t="shared" si="4"/>
        <v>0</v>
      </c>
      <c r="AF15" s="954">
        <f>SUM(T15:AE15)</f>
        <v>500</v>
      </c>
      <c r="AH15" s="954">
        <f>SUM(AH13:AH14)</f>
        <v>0</v>
      </c>
      <c r="AI15" s="954">
        <f t="shared" ref="AI15:AS15" si="5">SUM(AI13:AI14)</f>
        <v>0</v>
      </c>
      <c r="AJ15" s="954">
        <f t="shared" si="5"/>
        <v>500</v>
      </c>
      <c r="AK15" s="954">
        <f t="shared" si="5"/>
        <v>0</v>
      </c>
      <c r="AL15" s="954">
        <f t="shared" si="5"/>
        <v>0</v>
      </c>
      <c r="AM15" s="954">
        <f t="shared" si="5"/>
        <v>0</v>
      </c>
      <c r="AN15" s="954">
        <f t="shared" si="5"/>
        <v>0</v>
      </c>
      <c r="AO15" s="954">
        <f t="shared" si="5"/>
        <v>0</v>
      </c>
      <c r="AP15" s="954">
        <f t="shared" si="5"/>
        <v>0</v>
      </c>
      <c r="AQ15" s="954">
        <f t="shared" si="5"/>
        <v>0</v>
      </c>
      <c r="AR15" s="954">
        <f t="shared" si="5"/>
        <v>0</v>
      </c>
      <c r="AS15" s="954">
        <f t="shared" si="5"/>
        <v>0</v>
      </c>
      <c r="AT15" s="974">
        <f>SUM(AH15:AS15)</f>
        <v>500</v>
      </c>
    </row>
    <row r="16" spans="2:46">
      <c r="B16" s="966"/>
      <c r="C16" s="203"/>
      <c r="D16" s="203"/>
      <c r="E16" s="202"/>
      <c r="F16" s="197"/>
      <c r="G16" s="197"/>
      <c r="H16" s="197"/>
      <c r="I16" s="197"/>
      <c r="J16" s="197"/>
      <c r="K16" s="197"/>
      <c r="L16" s="197"/>
      <c r="M16" s="197"/>
      <c r="N16" s="197"/>
      <c r="O16" s="197"/>
      <c r="P16" s="197"/>
      <c r="Q16" s="197"/>
      <c r="R16" s="202"/>
      <c r="S16" s="657"/>
      <c r="T16" s="197"/>
      <c r="U16" s="197"/>
      <c r="V16" s="197"/>
      <c r="W16" s="197"/>
      <c r="X16" s="197"/>
      <c r="Y16" s="197"/>
      <c r="Z16" s="197"/>
      <c r="AA16" s="197"/>
      <c r="AB16" s="197"/>
      <c r="AC16" s="197"/>
      <c r="AD16" s="197"/>
      <c r="AE16" s="197"/>
      <c r="AF16" s="202"/>
      <c r="AH16" s="197"/>
      <c r="AI16" s="197"/>
      <c r="AJ16" s="197"/>
      <c r="AK16" s="197"/>
      <c r="AL16" s="197"/>
      <c r="AM16" s="197"/>
      <c r="AN16" s="197"/>
      <c r="AO16" s="197"/>
      <c r="AP16" s="197"/>
      <c r="AQ16" s="197"/>
      <c r="AR16" s="197"/>
      <c r="AS16" s="197"/>
      <c r="AT16" s="976"/>
    </row>
    <row r="17" spans="2:46" s="202" customFormat="1" ht="16">
      <c r="B17" s="975"/>
      <c r="C17" s="945" t="s">
        <v>330</v>
      </c>
      <c r="D17" s="945" t="s">
        <v>408</v>
      </c>
      <c r="F17" s="950" t="s">
        <v>259</v>
      </c>
      <c r="G17" s="951" t="s">
        <v>260</v>
      </c>
      <c r="H17" s="951" t="s">
        <v>6</v>
      </c>
      <c r="I17" s="951" t="s">
        <v>7</v>
      </c>
      <c r="J17" s="951" t="s">
        <v>8</v>
      </c>
      <c r="K17" s="951" t="s">
        <v>9</v>
      </c>
      <c r="L17" s="951" t="s">
        <v>10</v>
      </c>
      <c r="M17" s="951" t="s">
        <v>11</v>
      </c>
      <c r="N17" s="951" t="s">
        <v>12</v>
      </c>
      <c r="O17" s="951" t="s">
        <v>13</v>
      </c>
      <c r="P17" s="951" t="s">
        <v>2</v>
      </c>
      <c r="Q17" s="952" t="s">
        <v>3</v>
      </c>
      <c r="S17" s="658"/>
      <c r="T17" s="950" t="s">
        <v>4</v>
      </c>
      <c r="U17" s="951" t="s">
        <v>5</v>
      </c>
      <c r="V17" s="951" t="s">
        <v>6</v>
      </c>
      <c r="W17" s="951" t="s">
        <v>7</v>
      </c>
      <c r="X17" s="951" t="s">
        <v>8</v>
      </c>
      <c r="Y17" s="951" t="s">
        <v>9</v>
      </c>
      <c r="Z17" s="951" t="s">
        <v>10</v>
      </c>
      <c r="AA17" s="951" t="s">
        <v>11</v>
      </c>
      <c r="AB17" s="951" t="s">
        <v>12</v>
      </c>
      <c r="AC17" s="951" t="s">
        <v>13</v>
      </c>
      <c r="AD17" s="951" t="s">
        <v>2</v>
      </c>
      <c r="AE17" s="952" t="s">
        <v>3</v>
      </c>
      <c r="AH17" s="950" t="s">
        <v>4</v>
      </c>
      <c r="AI17" s="951" t="s">
        <v>5</v>
      </c>
      <c r="AJ17" s="951" t="s">
        <v>6</v>
      </c>
      <c r="AK17" s="951" t="s">
        <v>7</v>
      </c>
      <c r="AL17" s="951" t="s">
        <v>8</v>
      </c>
      <c r="AM17" s="951" t="s">
        <v>9</v>
      </c>
      <c r="AN17" s="951" t="s">
        <v>10</v>
      </c>
      <c r="AO17" s="951" t="s">
        <v>11</v>
      </c>
      <c r="AP17" s="951" t="s">
        <v>12</v>
      </c>
      <c r="AQ17" s="951" t="s">
        <v>13</v>
      </c>
      <c r="AR17" s="951" t="s">
        <v>2</v>
      </c>
      <c r="AS17" s="952" t="s">
        <v>3</v>
      </c>
      <c r="AT17" s="976"/>
    </row>
    <row r="18" spans="2:46">
      <c r="B18" s="966"/>
      <c r="C18" s="1010" t="s">
        <v>331</v>
      </c>
      <c r="D18" s="1010" t="s">
        <v>409</v>
      </c>
      <c r="E18" s="955"/>
      <c r="F18" s="1013">
        <v>100</v>
      </c>
      <c r="G18" s="1013"/>
      <c r="H18" s="1013"/>
      <c r="I18" s="1013"/>
      <c r="J18" s="1013"/>
      <c r="K18" s="1013"/>
      <c r="L18" s="1013"/>
      <c r="M18" s="1013"/>
      <c r="N18" s="1013"/>
      <c r="O18" s="1013"/>
      <c r="P18" s="1013"/>
      <c r="Q18" s="1013"/>
      <c r="R18" s="955"/>
      <c r="S18" s="657"/>
      <c r="T18" s="1013"/>
      <c r="U18" s="1013">
        <v>100</v>
      </c>
      <c r="V18" s="1013"/>
      <c r="W18" s="1013"/>
      <c r="X18" s="1013"/>
      <c r="Y18" s="1013"/>
      <c r="Z18" s="1013"/>
      <c r="AA18" s="1013"/>
      <c r="AB18" s="1013"/>
      <c r="AC18" s="1013"/>
      <c r="AD18" s="1013"/>
      <c r="AE18" s="1013"/>
      <c r="AF18" s="955"/>
      <c r="AH18" s="1013"/>
      <c r="AI18" s="1013"/>
      <c r="AJ18" s="1013">
        <v>100</v>
      </c>
      <c r="AK18" s="1013"/>
      <c r="AL18" s="1013"/>
      <c r="AM18" s="1013"/>
      <c r="AN18" s="1013"/>
      <c r="AO18" s="1013"/>
      <c r="AP18" s="1013"/>
      <c r="AQ18" s="1013"/>
      <c r="AR18" s="1013"/>
      <c r="AS18" s="1013"/>
      <c r="AT18" s="972"/>
    </row>
    <row r="19" spans="2:46">
      <c r="B19" s="966"/>
      <c r="C19" s="1010"/>
      <c r="D19" s="1010"/>
      <c r="E19" s="955"/>
      <c r="F19" s="1013"/>
      <c r="G19" s="1013"/>
      <c r="H19" s="1013"/>
      <c r="I19" s="1013"/>
      <c r="J19" s="1013"/>
      <c r="K19" s="1013"/>
      <c r="L19" s="1013"/>
      <c r="M19" s="1013"/>
      <c r="N19" s="1013"/>
      <c r="O19" s="1013"/>
      <c r="P19" s="1013"/>
      <c r="Q19" s="1013"/>
      <c r="R19" s="955"/>
      <c r="S19" s="657"/>
      <c r="T19" s="1013"/>
      <c r="U19" s="1013"/>
      <c r="V19" s="1013"/>
      <c r="W19" s="1013"/>
      <c r="X19" s="1013"/>
      <c r="Y19" s="1013"/>
      <c r="Z19" s="1013"/>
      <c r="AA19" s="1013"/>
      <c r="AB19" s="1013"/>
      <c r="AC19" s="1013"/>
      <c r="AD19" s="1013"/>
      <c r="AE19" s="1013"/>
      <c r="AF19" s="955"/>
      <c r="AH19" s="1013"/>
      <c r="AI19" s="1013"/>
      <c r="AJ19" s="1013"/>
      <c r="AK19" s="1013"/>
      <c r="AL19" s="1013"/>
      <c r="AM19" s="1013"/>
      <c r="AN19" s="1013"/>
      <c r="AO19" s="1013"/>
      <c r="AP19" s="1013"/>
      <c r="AQ19" s="1013"/>
      <c r="AR19" s="1013"/>
      <c r="AS19" s="1013"/>
      <c r="AT19" s="972"/>
    </row>
    <row r="20" spans="2:46">
      <c r="B20" s="966"/>
      <c r="C20" s="1010" t="s">
        <v>332</v>
      </c>
      <c r="D20" s="1010" t="s">
        <v>410</v>
      </c>
      <c r="E20" s="955"/>
      <c r="F20" s="1013"/>
      <c r="G20" s="1013"/>
      <c r="H20" s="1013"/>
      <c r="I20" s="1013"/>
      <c r="J20" s="1013"/>
      <c r="K20" s="1013"/>
      <c r="L20" s="1013"/>
      <c r="M20" s="1013"/>
      <c r="N20" s="1013"/>
      <c r="O20" s="1013"/>
      <c r="P20" s="1013"/>
      <c r="Q20" s="1013"/>
      <c r="R20" s="955"/>
      <c r="S20" s="657"/>
      <c r="T20" s="1013"/>
      <c r="U20" s="1013"/>
      <c r="V20" s="1013"/>
      <c r="W20" s="1013"/>
      <c r="X20" s="1013"/>
      <c r="Y20" s="1013"/>
      <c r="Z20" s="1013"/>
      <c r="AA20" s="1013"/>
      <c r="AB20" s="1013"/>
      <c r="AC20" s="1013"/>
      <c r="AD20" s="1013"/>
      <c r="AE20" s="1013"/>
      <c r="AF20" s="955"/>
      <c r="AH20" s="1013"/>
      <c r="AI20" s="1013"/>
      <c r="AJ20" s="1013"/>
      <c r="AK20" s="1013"/>
      <c r="AL20" s="1013"/>
      <c r="AM20" s="1013"/>
      <c r="AN20" s="1013"/>
      <c r="AO20" s="1013"/>
      <c r="AP20" s="1013"/>
      <c r="AQ20" s="1013"/>
      <c r="AR20" s="1013"/>
      <c r="AS20" s="1013"/>
      <c r="AT20" s="972"/>
    </row>
    <row r="21" spans="2:46">
      <c r="B21" s="966"/>
      <c r="C21" s="1010"/>
      <c r="D21" s="1010"/>
      <c r="E21" s="955"/>
      <c r="F21" s="1013"/>
      <c r="G21" s="1013"/>
      <c r="H21" s="1013"/>
      <c r="I21" s="1013"/>
      <c r="J21" s="1013"/>
      <c r="K21" s="1013"/>
      <c r="L21" s="1013"/>
      <c r="M21" s="1013"/>
      <c r="N21" s="1013"/>
      <c r="O21" s="1013"/>
      <c r="P21" s="1013"/>
      <c r="Q21" s="1013"/>
      <c r="R21" s="955"/>
      <c r="S21" s="657"/>
      <c r="T21" s="1013"/>
      <c r="U21" s="1013"/>
      <c r="V21" s="1013"/>
      <c r="W21" s="1013"/>
      <c r="X21" s="1013"/>
      <c r="Y21" s="1013"/>
      <c r="Z21" s="1013"/>
      <c r="AA21" s="1013"/>
      <c r="AB21" s="1013"/>
      <c r="AC21" s="1013"/>
      <c r="AD21" s="1013"/>
      <c r="AE21" s="1013"/>
      <c r="AF21" s="955"/>
      <c r="AH21" s="1013"/>
      <c r="AI21" s="1013"/>
      <c r="AJ21" s="1013"/>
      <c r="AK21" s="1013"/>
      <c r="AL21" s="1013"/>
      <c r="AM21" s="1013"/>
      <c r="AN21" s="1013"/>
      <c r="AO21" s="1013"/>
      <c r="AP21" s="1013"/>
      <c r="AQ21" s="1013"/>
      <c r="AR21" s="1013"/>
      <c r="AS21" s="1013"/>
      <c r="AT21" s="972"/>
    </row>
    <row r="22" spans="2:46">
      <c r="B22" s="966"/>
      <c r="C22" s="1010" t="s">
        <v>291</v>
      </c>
      <c r="D22" s="1010" t="s">
        <v>411</v>
      </c>
      <c r="E22" s="955"/>
      <c r="F22" s="1013"/>
      <c r="G22" s="1013"/>
      <c r="H22" s="1013"/>
      <c r="I22" s="1013"/>
      <c r="J22" s="1013"/>
      <c r="K22" s="1013"/>
      <c r="L22" s="1013"/>
      <c r="M22" s="1013"/>
      <c r="N22" s="1013"/>
      <c r="O22" s="1013"/>
      <c r="P22" s="1013"/>
      <c r="Q22" s="1013"/>
      <c r="R22" s="955"/>
      <c r="S22" s="657"/>
      <c r="T22" s="1013"/>
      <c r="U22" s="1013"/>
      <c r="V22" s="1013"/>
      <c r="W22" s="1013"/>
      <c r="X22" s="1013"/>
      <c r="Y22" s="1013"/>
      <c r="Z22" s="1013"/>
      <c r="AA22" s="1013"/>
      <c r="AB22" s="1013"/>
      <c r="AC22" s="1013"/>
      <c r="AD22" s="1013"/>
      <c r="AE22" s="1013"/>
      <c r="AF22" s="955"/>
      <c r="AH22" s="1013"/>
      <c r="AI22" s="1013"/>
      <c r="AJ22" s="1013"/>
      <c r="AK22" s="1013"/>
      <c r="AL22" s="1013"/>
      <c r="AM22" s="1013"/>
      <c r="AN22" s="1013"/>
      <c r="AO22" s="1013"/>
      <c r="AP22" s="1013"/>
      <c r="AQ22" s="1013"/>
      <c r="AR22" s="1013"/>
      <c r="AS22" s="1013"/>
      <c r="AT22" s="972"/>
    </row>
    <row r="23" spans="2:46">
      <c r="B23" s="966"/>
      <c r="C23" s="953" t="s">
        <v>75</v>
      </c>
      <c r="D23" s="953" t="s">
        <v>274</v>
      </c>
      <c r="E23" s="973"/>
      <c r="F23" s="954">
        <f>SUM(F18:F22)</f>
        <v>100</v>
      </c>
      <c r="G23" s="954">
        <f t="shared" ref="G23:Q23" si="6">SUM(G18:G22)</f>
        <v>0</v>
      </c>
      <c r="H23" s="954">
        <f t="shared" si="6"/>
        <v>0</v>
      </c>
      <c r="I23" s="954">
        <f t="shared" si="6"/>
        <v>0</v>
      </c>
      <c r="J23" s="954">
        <f t="shared" si="6"/>
        <v>0</v>
      </c>
      <c r="K23" s="954">
        <f t="shared" si="6"/>
        <v>0</v>
      </c>
      <c r="L23" s="954">
        <f t="shared" si="6"/>
        <v>0</v>
      </c>
      <c r="M23" s="954">
        <f t="shared" si="6"/>
        <v>0</v>
      </c>
      <c r="N23" s="954">
        <f t="shared" si="6"/>
        <v>0</v>
      </c>
      <c r="O23" s="954">
        <f t="shared" si="6"/>
        <v>0</v>
      </c>
      <c r="P23" s="954">
        <f t="shared" si="6"/>
        <v>0</v>
      </c>
      <c r="Q23" s="954">
        <f t="shared" si="6"/>
        <v>0</v>
      </c>
      <c r="R23" s="954">
        <f>SUM(F23:Q23)</f>
        <v>100</v>
      </c>
      <c r="S23" s="659"/>
      <c r="T23" s="954">
        <f>SUM(T18:T22)</f>
        <v>0</v>
      </c>
      <c r="U23" s="954">
        <f t="shared" ref="U23:AE23" si="7">SUM(U18:U22)</f>
        <v>100</v>
      </c>
      <c r="V23" s="954">
        <f t="shared" si="7"/>
        <v>0</v>
      </c>
      <c r="W23" s="954">
        <f t="shared" si="7"/>
        <v>0</v>
      </c>
      <c r="X23" s="954">
        <f t="shared" si="7"/>
        <v>0</v>
      </c>
      <c r="Y23" s="954">
        <f t="shared" si="7"/>
        <v>0</v>
      </c>
      <c r="Z23" s="954">
        <f t="shared" si="7"/>
        <v>0</v>
      </c>
      <c r="AA23" s="954">
        <f t="shared" si="7"/>
        <v>0</v>
      </c>
      <c r="AB23" s="954">
        <f t="shared" si="7"/>
        <v>0</v>
      </c>
      <c r="AC23" s="954">
        <f t="shared" si="7"/>
        <v>0</v>
      </c>
      <c r="AD23" s="954">
        <f t="shared" si="7"/>
        <v>0</v>
      </c>
      <c r="AE23" s="954">
        <f t="shared" si="7"/>
        <v>0</v>
      </c>
      <c r="AF23" s="954">
        <f>SUM(T23:AE23)</f>
        <v>100</v>
      </c>
      <c r="AH23" s="954">
        <f>SUM(AH18:AH22)</f>
        <v>0</v>
      </c>
      <c r="AI23" s="954">
        <f t="shared" ref="AI23:AS23" si="8">SUM(AI18:AI22)</f>
        <v>0</v>
      </c>
      <c r="AJ23" s="954">
        <f t="shared" si="8"/>
        <v>100</v>
      </c>
      <c r="AK23" s="954">
        <f t="shared" si="8"/>
        <v>0</v>
      </c>
      <c r="AL23" s="954">
        <f t="shared" si="8"/>
        <v>0</v>
      </c>
      <c r="AM23" s="954">
        <f t="shared" si="8"/>
        <v>0</v>
      </c>
      <c r="AN23" s="954">
        <f t="shared" si="8"/>
        <v>0</v>
      </c>
      <c r="AO23" s="954">
        <f t="shared" si="8"/>
        <v>0</v>
      </c>
      <c r="AP23" s="954">
        <f t="shared" si="8"/>
        <v>0</v>
      </c>
      <c r="AQ23" s="954">
        <f t="shared" si="8"/>
        <v>0</v>
      </c>
      <c r="AR23" s="954">
        <f t="shared" si="8"/>
        <v>0</v>
      </c>
      <c r="AS23" s="954">
        <f t="shared" si="8"/>
        <v>0</v>
      </c>
      <c r="AT23" s="974">
        <f>SUM(AH23:AS23)</f>
        <v>100</v>
      </c>
    </row>
    <row r="24" spans="2:46" ht="14" customHeight="1">
      <c r="B24" s="966"/>
      <c r="E24" s="272"/>
      <c r="R24" s="272"/>
      <c r="S24" s="657"/>
      <c r="AF24" s="272"/>
      <c r="AT24" s="971"/>
    </row>
    <row r="25" spans="2:46" s="202" customFormat="1" ht="16">
      <c r="B25" s="975"/>
      <c r="C25" s="945" t="s">
        <v>264</v>
      </c>
      <c r="D25" s="945" t="s">
        <v>264</v>
      </c>
      <c r="F25" s="950" t="s">
        <v>262</v>
      </c>
      <c r="G25" s="951" t="s">
        <v>263</v>
      </c>
      <c r="H25" s="951" t="s">
        <v>48</v>
      </c>
      <c r="I25" s="951" t="s">
        <v>7</v>
      </c>
      <c r="J25" s="951" t="s">
        <v>49</v>
      </c>
      <c r="K25" s="951" t="s">
        <v>9</v>
      </c>
      <c r="L25" s="951" t="s">
        <v>10</v>
      </c>
      <c r="M25" s="951" t="s">
        <v>11</v>
      </c>
      <c r="N25" s="951" t="s">
        <v>12</v>
      </c>
      <c r="O25" s="951" t="s">
        <v>50</v>
      </c>
      <c r="P25" s="951" t="s">
        <v>2</v>
      </c>
      <c r="Q25" s="952" t="s">
        <v>51</v>
      </c>
      <c r="S25" s="658"/>
      <c r="T25" s="950" t="s">
        <v>4</v>
      </c>
      <c r="U25" s="951" t="s">
        <v>5</v>
      </c>
      <c r="V25" s="951" t="s">
        <v>48</v>
      </c>
      <c r="W25" s="951" t="s">
        <v>7</v>
      </c>
      <c r="X25" s="951" t="s">
        <v>49</v>
      </c>
      <c r="Y25" s="951" t="s">
        <v>9</v>
      </c>
      <c r="Z25" s="951" t="s">
        <v>10</v>
      </c>
      <c r="AA25" s="951" t="s">
        <v>11</v>
      </c>
      <c r="AB25" s="951" t="s">
        <v>12</v>
      </c>
      <c r="AC25" s="951" t="s">
        <v>50</v>
      </c>
      <c r="AD25" s="951" t="s">
        <v>2</v>
      </c>
      <c r="AE25" s="952" t="s">
        <v>51</v>
      </c>
      <c r="AH25" s="950" t="s">
        <v>4</v>
      </c>
      <c r="AI25" s="951" t="s">
        <v>5</v>
      </c>
      <c r="AJ25" s="951" t="s">
        <v>48</v>
      </c>
      <c r="AK25" s="951" t="s">
        <v>7</v>
      </c>
      <c r="AL25" s="951" t="s">
        <v>49</v>
      </c>
      <c r="AM25" s="951" t="s">
        <v>9</v>
      </c>
      <c r="AN25" s="951" t="s">
        <v>10</v>
      </c>
      <c r="AO25" s="951" t="s">
        <v>11</v>
      </c>
      <c r="AP25" s="951" t="s">
        <v>12</v>
      </c>
      <c r="AQ25" s="951" t="s">
        <v>50</v>
      </c>
      <c r="AR25" s="951" t="s">
        <v>2</v>
      </c>
      <c r="AS25" s="952" t="s">
        <v>51</v>
      </c>
      <c r="AT25" s="976"/>
    </row>
    <row r="26" spans="2:46">
      <c r="B26" s="966"/>
      <c r="C26" s="1010" t="s">
        <v>289</v>
      </c>
      <c r="D26" s="1010" t="s">
        <v>412</v>
      </c>
      <c r="E26" s="955"/>
      <c r="F26" s="1013"/>
      <c r="G26" s="1013"/>
      <c r="H26" s="1013"/>
      <c r="I26" s="1013"/>
      <c r="J26" s="1013"/>
      <c r="K26" s="1013"/>
      <c r="L26" s="1013"/>
      <c r="M26" s="1013"/>
      <c r="N26" s="1013"/>
      <c r="O26" s="1013"/>
      <c r="P26" s="1013"/>
      <c r="Q26" s="1013"/>
      <c r="R26" s="955"/>
      <c r="S26" s="657"/>
      <c r="T26" s="1013"/>
      <c r="U26" s="1013"/>
      <c r="V26" s="1013"/>
      <c r="W26" s="1013"/>
      <c r="X26" s="1013"/>
      <c r="Y26" s="1013"/>
      <c r="Z26" s="1013"/>
      <c r="AA26" s="1013"/>
      <c r="AB26" s="1013"/>
      <c r="AC26" s="1013"/>
      <c r="AD26" s="1013"/>
      <c r="AE26" s="1013"/>
      <c r="AF26" s="955"/>
      <c r="AH26" s="1013"/>
      <c r="AI26" s="1013"/>
      <c r="AJ26" s="1013"/>
      <c r="AK26" s="1013"/>
      <c r="AL26" s="1013"/>
      <c r="AM26" s="1013"/>
      <c r="AN26" s="1013"/>
      <c r="AO26" s="1013"/>
      <c r="AP26" s="1013"/>
      <c r="AQ26" s="1013"/>
      <c r="AR26" s="1013"/>
      <c r="AS26" s="1013"/>
      <c r="AT26" s="972"/>
    </row>
    <row r="27" spans="2:46">
      <c r="B27" s="966"/>
      <c r="C27" s="1010" t="s">
        <v>334</v>
      </c>
      <c r="D27" s="1010" t="s">
        <v>413</v>
      </c>
      <c r="E27" s="955"/>
      <c r="F27" s="1013"/>
      <c r="G27" s="1013"/>
      <c r="H27" s="1013"/>
      <c r="I27" s="1013"/>
      <c r="J27" s="1013"/>
      <c r="K27" s="1013"/>
      <c r="L27" s="1013"/>
      <c r="M27" s="1013"/>
      <c r="N27" s="1013"/>
      <c r="O27" s="1013"/>
      <c r="P27" s="1013"/>
      <c r="Q27" s="1013"/>
      <c r="R27" s="955"/>
      <c r="S27" s="657"/>
      <c r="T27" s="1013"/>
      <c r="U27" s="1013"/>
      <c r="V27" s="1013"/>
      <c r="W27" s="1013"/>
      <c r="X27" s="1013"/>
      <c r="Y27" s="1013"/>
      <c r="Z27" s="1013"/>
      <c r="AA27" s="1013"/>
      <c r="AB27" s="1013"/>
      <c r="AC27" s="1013"/>
      <c r="AD27" s="1013"/>
      <c r="AE27" s="1013"/>
      <c r="AF27" s="955"/>
      <c r="AH27" s="1013"/>
      <c r="AI27" s="1013"/>
      <c r="AJ27" s="1013"/>
      <c r="AK27" s="1013"/>
      <c r="AL27" s="1013"/>
      <c r="AM27" s="1013"/>
      <c r="AN27" s="1013"/>
      <c r="AO27" s="1013"/>
      <c r="AP27" s="1013"/>
      <c r="AQ27" s="1013"/>
      <c r="AR27" s="1013"/>
      <c r="AS27" s="1013"/>
      <c r="AT27" s="972"/>
    </row>
    <row r="28" spans="2:46">
      <c r="B28" s="966"/>
      <c r="C28" s="1010" t="s">
        <v>265</v>
      </c>
      <c r="D28" s="1010" t="s">
        <v>265</v>
      </c>
      <c r="E28" s="955"/>
      <c r="F28" s="1013">
        <v>500</v>
      </c>
      <c r="G28" s="1013"/>
      <c r="H28" s="1013"/>
      <c r="I28" s="1013"/>
      <c r="J28" s="1013"/>
      <c r="K28" s="1013"/>
      <c r="L28" s="1013"/>
      <c r="M28" s="1013"/>
      <c r="N28" s="1013"/>
      <c r="O28" s="1013"/>
      <c r="P28" s="1013"/>
      <c r="Q28" s="1013"/>
      <c r="R28" s="955"/>
      <c r="S28" s="657"/>
      <c r="T28" s="1013"/>
      <c r="U28" s="1013">
        <v>500</v>
      </c>
      <c r="V28" s="1013"/>
      <c r="W28" s="1013"/>
      <c r="X28" s="1013"/>
      <c r="Y28" s="1013"/>
      <c r="Z28" s="1013"/>
      <c r="AA28" s="1013"/>
      <c r="AB28" s="1013"/>
      <c r="AC28" s="1013"/>
      <c r="AD28" s="1013"/>
      <c r="AE28" s="1013"/>
      <c r="AF28" s="955"/>
      <c r="AH28" s="1013"/>
      <c r="AI28" s="1013"/>
      <c r="AJ28" s="1013">
        <v>500</v>
      </c>
      <c r="AK28" s="1013"/>
      <c r="AL28" s="1013"/>
      <c r="AM28" s="1013"/>
      <c r="AN28" s="1013"/>
      <c r="AO28" s="1013"/>
      <c r="AP28" s="1013"/>
      <c r="AQ28" s="1013"/>
      <c r="AR28" s="1013"/>
      <c r="AS28" s="1013"/>
      <c r="AT28" s="972"/>
    </row>
    <row r="29" spans="2:46">
      <c r="B29" s="966"/>
      <c r="C29" s="1010" t="s">
        <v>335</v>
      </c>
      <c r="D29" s="1010" t="s">
        <v>414</v>
      </c>
      <c r="E29" s="955"/>
      <c r="F29" s="1013"/>
      <c r="G29" s="1013"/>
      <c r="H29" s="1013"/>
      <c r="I29" s="1013"/>
      <c r="J29" s="1013"/>
      <c r="K29" s="1013"/>
      <c r="L29" s="1013"/>
      <c r="M29" s="1013"/>
      <c r="N29" s="1013"/>
      <c r="O29" s="1013"/>
      <c r="P29" s="1013"/>
      <c r="Q29" s="1013"/>
      <c r="R29" s="955"/>
      <c r="S29" s="657"/>
      <c r="T29" s="1013"/>
      <c r="U29" s="1013"/>
      <c r="V29" s="1013"/>
      <c r="W29" s="1013"/>
      <c r="X29" s="1013"/>
      <c r="Y29" s="1013"/>
      <c r="Z29" s="1013"/>
      <c r="AA29" s="1013"/>
      <c r="AB29" s="1013"/>
      <c r="AC29" s="1013"/>
      <c r="AD29" s="1013"/>
      <c r="AE29" s="1013"/>
      <c r="AF29" s="955"/>
      <c r="AH29" s="1013"/>
      <c r="AI29" s="1013"/>
      <c r="AJ29" s="1013"/>
      <c r="AK29" s="1013"/>
      <c r="AL29" s="1013"/>
      <c r="AM29" s="1013"/>
      <c r="AN29" s="1013"/>
      <c r="AO29" s="1013"/>
      <c r="AP29" s="1013"/>
      <c r="AQ29" s="1013"/>
      <c r="AR29" s="1013"/>
      <c r="AS29" s="1013"/>
      <c r="AT29" s="972"/>
    </row>
    <row r="30" spans="2:46">
      <c r="B30" s="966"/>
      <c r="C30" s="1010" t="s">
        <v>336</v>
      </c>
      <c r="D30" s="1010" t="s">
        <v>415</v>
      </c>
      <c r="E30" s="955"/>
      <c r="F30" s="1013"/>
      <c r="G30" s="1013"/>
      <c r="H30" s="1013"/>
      <c r="I30" s="1013"/>
      <c r="J30" s="1013"/>
      <c r="K30" s="1013"/>
      <c r="L30" s="1013"/>
      <c r="M30" s="1013"/>
      <c r="N30" s="1013"/>
      <c r="O30" s="1013"/>
      <c r="P30" s="1013"/>
      <c r="Q30" s="1013"/>
      <c r="R30" s="955"/>
      <c r="S30" s="657"/>
      <c r="T30" s="1013"/>
      <c r="U30" s="1013"/>
      <c r="V30" s="1013"/>
      <c r="W30" s="1013"/>
      <c r="X30" s="1013"/>
      <c r="Y30" s="1013"/>
      <c r="Z30" s="1013"/>
      <c r="AA30" s="1013"/>
      <c r="AB30" s="1013"/>
      <c r="AC30" s="1013"/>
      <c r="AD30" s="1013"/>
      <c r="AE30" s="1013"/>
      <c r="AF30" s="955"/>
      <c r="AH30" s="1013"/>
      <c r="AI30" s="1013"/>
      <c r="AJ30" s="1013"/>
      <c r="AK30" s="1013"/>
      <c r="AL30" s="1013"/>
      <c r="AM30" s="1013"/>
      <c r="AN30" s="1013"/>
      <c r="AO30" s="1013"/>
      <c r="AP30" s="1013"/>
      <c r="AQ30" s="1013"/>
      <c r="AR30" s="1013"/>
      <c r="AS30" s="1013"/>
      <c r="AT30" s="972"/>
    </row>
    <row r="31" spans="2:46">
      <c r="B31" s="966"/>
      <c r="C31" s="1010"/>
      <c r="D31" s="1010"/>
      <c r="E31" s="955"/>
      <c r="F31" s="1013"/>
      <c r="G31" s="1013"/>
      <c r="H31" s="1013"/>
      <c r="I31" s="1013"/>
      <c r="J31" s="1013"/>
      <c r="K31" s="1013"/>
      <c r="L31" s="1013"/>
      <c r="M31" s="1013"/>
      <c r="N31" s="1013"/>
      <c r="O31" s="1013"/>
      <c r="P31" s="1013"/>
      <c r="Q31" s="1013"/>
      <c r="R31" s="955"/>
      <c r="S31" s="657"/>
      <c r="T31" s="1013"/>
      <c r="U31" s="1013"/>
      <c r="V31" s="1013"/>
      <c r="W31" s="1013"/>
      <c r="X31" s="1013"/>
      <c r="Y31" s="1013"/>
      <c r="Z31" s="1013"/>
      <c r="AA31" s="1013"/>
      <c r="AB31" s="1013"/>
      <c r="AC31" s="1013"/>
      <c r="AD31" s="1013"/>
      <c r="AE31" s="1013"/>
      <c r="AF31" s="955"/>
      <c r="AH31" s="1013"/>
      <c r="AI31" s="1013"/>
      <c r="AJ31" s="1013"/>
      <c r="AK31" s="1013"/>
      <c r="AL31" s="1013"/>
      <c r="AM31" s="1013"/>
      <c r="AN31" s="1013"/>
      <c r="AO31" s="1013"/>
      <c r="AP31" s="1013"/>
      <c r="AQ31" s="1013"/>
      <c r="AR31" s="1013"/>
      <c r="AS31" s="1013"/>
      <c r="AT31" s="972"/>
    </row>
    <row r="32" spans="2:46">
      <c r="B32" s="966"/>
      <c r="C32" s="953" t="s">
        <v>75</v>
      </c>
      <c r="D32" s="953" t="s">
        <v>274</v>
      </c>
      <c r="E32" s="973"/>
      <c r="F32" s="954">
        <f>SUM(F26:F31)</f>
        <v>500</v>
      </c>
      <c r="G32" s="954">
        <f t="shared" ref="G32:Q32" si="9">SUM(G26:G31)</f>
        <v>0</v>
      </c>
      <c r="H32" s="954">
        <f t="shared" si="9"/>
        <v>0</v>
      </c>
      <c r="I32" s="954">
        <f t="shared" si="9"/>
        <v>0</v>
      </c>
      <c r="J32" s="954">
        <f t="shared" si="9"/>
        <v>0</v>
      </c>
      <c r="K32" s="954">
        <f t="shared" si="9"/>
        <v>0</v>
      </c>
      <c r="L32" s="954">
        <f t="shared" si="9"/>
        <v>0</v>
      </c>
      <c r="M32" s="954">
        <f t="shared" si="9"/>
        <v>0</v>
      </c>
      <c r="N32" s="954">
        <f t="shared" si="9"/>
        <v>0</v>
      </c>
      <c r="O32" s="954">
        <f t="shared" si="9"/>
        <v>0</v>
      </c>
      <c r="P32" s="954">
        <f t="shared" si="9"/>
        <v>0</v>
      </c>
      <c r="Q32" s="954">
        <f t="shared" si="9"/>
        <v>0</v>
      </c>
      <c r="R32" s="954">
        <f>SUM(F32:Q32)</f>
        <v>500</v>
      </c>
      <c r="S32" s="659"/>
      <c r="T32" s="954">
        <f>SUM(T26:T31)</f>
        <v>0</v>
      </c>
      <c r="U32" s="954">
        <f t="shared" ref="U32:AE32" si="10">SUM(U26:U31)</f>
        <v>500</v>
      </c>
      <c r="V32" s="954">
        <f t="shared" si="10"/>
        <v>0</v>
      </c>
      <c r="W32" s="954">
        <f t="shared" si="10"/>
        <v>0</v>
      </c>
      <c r="X32" s="954">
        <f t="shared" si="10"/>
        <v>0</v>
      </c>
      <c r="Y32" s="954">
        <f t="shared" si="10"/>
        <v>0</v>
      </c>
      <c r="Z32" s="954">
        <f t="shared" si="10"/>
        <v>0</v>
      </c>
      <c r="AA32" s="954">
        <f t="shared" si="10"/>
        <v>0</v>
      </c>
      <c r="AB32" s="954">
        <f t="shared" si="10"/>
        <v>0</v>
      </c>
      <c r="AC32" s="954">
        <f t="shared" si="10"/>
        <v>0</v>
      </c>
      <c r="AD32" s="954">
        <f t="shared" si="10"/>
        <v>0</v>
      </c>
      <c r="AE32" s="954">
        <f t="shared" si="10"/>
        <v>0</v>
      </c>
      <c r="AF32" s="954">
        <f>SUM(T32:AE32)</f>
        <v>500</v>
      </c>
      <c r="AH32" s="954">
        <f>SUM(AH26:AH31)</f>
        <v>0</v>
      </c>
      <c r="AI32" s="954">
        <f t="shared" ref="AI32:AS32" si="11">SUM(AI26:AI31)</f>
        <v>0</v>
      </c>
      <c r="AJ32" s="954">
        <f t="shared" si="11"/>
        <v>500</v>
      </c>
      <c r="AK32" s="954">
        <f t="shared" si="11"/>
        <v>0</v>
      </c>
      <c r="AL32" s="954">
        <f t="shared" si="11"/>
        <v>0</v>
      </c>
      <c r="AM32" s="954">
        <f t="shared" si="11"/>
        <v>0</v>
      </c>
      <c r="AN32" s="954">
        <f t="shared" si="11"/>
        <v>0</v>
      </c>
      <c r="AO32" s="954">
        <f t="shared" si="11"/>
        <v>0</v>
      </c>
      <c r="AP32" s="954">
        <f t="shared" si="11"/>
        <v>0</v>
      </c>
      <c r="AQ32" s="954">
        <f t="shared" si="11"/>
        <v>0</v>
      </c>
      <c r="AR32" s="954">
        <f t="shared" si="11"/>
        <v>0</v>
      </c>
      <c r="AS32" s="954">
        <f t="shared" si="11"/>
        <v>0</v>
      </c>
      <c r="AT32" s="974">
        <f>SUM(AH32:AS32)</f>
        <v>500</v>
      </c>
    </row>
    <row r="33" spans="2:46" ht="12.75" customHeight="1">
      <c r="B33" s="966"/>
      <c r="C33" s="273"/>
      <c r="D33" s="273"/>
      <c r="E33" s="273"/>
      <c r="R33" s="273"/>
      <c r="S33" s="657"/>
      <c r="AF33" s="273"/>
      <c r="AT33" s="977"/>
    </row>
    <row r="34" spans="2:46" s="202" customFormat="1" ht="16">
      <c r="B34" s="975"/>
      <c r="C34" s="945" t="s">
        <v>337</v>
      </c>
      <c r="D34" s="945" t="s">
        <v>419</v>
      </c>
      <c r="F34" s="950" t="s">
        <v>262</v>
      </c>
      <c r="G34" s="951" t="s">
        <v>263</v>
      </c>
      <c r="H34" s="951" t="s">
        <v>48</v>
      </c>
      <c r="I34" s="951" t="s">
        <v>7</v>
      </c>
      <c r="J34" s="951" t="s">
        <v>49</v>
      </c>
      <c r="K34" s="951" t="s">
        <v>9</v>
      </c>
      <c r="L34" s="951" t="s">
        <v>10</v>
      </c>
      <c r="M34" s="951" t="s">
        <v>11</v>
      </c>
      <c r="N34" s="951" t="s">
        <v>12</v>
      </c>
      <c r="O34" s="951" t="s">
        <v>50</v>
      </c>
      <c r="P34" s="951" t="s">
        <v>2</v>
      </c>
      <c r="Q34" s="952" t="s">
        <v>51</v>
      </c>
      <c r="S34" s="658"/>
      <c r="T34" s="950" t="s">
        <v>4</v>
      </c>
      <c r="U34" s="951" t="s">
        <v>5</v>
      </c>
      <c r="V34" s="951" t="s">
        <v>48</v>
      </c>
      <c r="W34" s="951" t="s">
        <v>7</v>
      </c>
      <c r="X34" s="951" t="s">
        <v>49</v>
      </c>
      <c r="Y34" s="951" t="s">
        <v>9</v>
      </c>
      <c r="Z34" s="951" t="s">
        <v>10</v>
      </c>
      <c r="AA34" s="951" t="s">
        <v>11</v>
      </c>
      <c r="AB34" s="951" t="s">
        <v>12</v>
      </c>
      <c r="AC34" s="951" t="s">
        <v>50</v>
      </c>
      <c r="AD34" s="951" t="s">
        <v>2</v>
      </c>
      <c r="AE34" s="952" t="s">
        <v>51</v>
      </c>
      <c r="AH34" s="950" t="s">
        <v>4</v>
      </c>
      <c r="AI34" s="951" t="s">
        <v>5</v>
      </c>
      <c r="AJ34" s="951" t="s">
        <v>48</v>
      </c>
      <c r="AK34" s="951" t="s">
        <v>7</v>
      </c>
      <c r="AL34" s="951" t="s">
        <v>49</v>
      </c>
      <c r="AM34" s="951" t="s">
        <v>9</v>
      </c>
      <c r="AN34" s="951" t="s">
        <v>10</v>
      </c>
      <c r="AO34" s="951" t="s">
        <v>11</v>
      </c>
      <c r="AP34" s="951" t="s">
        <v>12</v>
      </c>
      <c r="AQ34" s="951" t="s">
        <v>50</v>
      </c>
      <c r="AR34" s="951" t="s">
        <v>2</v>
      </c>
      <c r="AS34" s="952" t="s">
        <v>51</v>
      </c>
      <c r="AT34" s="976"/>
    </row>
    <row r="35" spans="2:46">
      <c r="B35" s="966"/>
      <c r="C35" s="1010" t="s">
        <v>416</v>
      </c>
      <c r="D35" s="1010" t="s">
        <v>417</v>
      </c>
      <c r="E35" s="955"/>
      <c r="F35" s="1013">
        <v>500</v>
      </c>
      <c r="G35" s="1013"/>
      <c r="H35" s="1013"/>
      <c r="I35" s="1013"/>
      <c r="J35" s="1013"/>
      <c r="K35" s="1013"/>
      <c r="L35" s="1013"/>
      <c r="M35" s="1013"/>
      <c r="N35" s="1013"/>
      <c r="O35" s="1013"/>
      <c r="P35" s="1013"/>
      <c r="Q35" s="1013"/>
      <c r="R35" s="955"/>
      <c r="S35" s="657"/>
      <c r="T35" s="1013"/>
      <c r="U35" s="1013">
        <v>500</v>
      </c>
      <c r="V35" s="1013"/>
      <c r="W35" s="1013"/>
      <c r="X35" s="1013"/>
      <c r="Y35" s="1013"/>
      <c r="Z35" s="1013"/>
      <c r="AA35" s="1013"/>
      <c r="AB35" s="1013"/>
      <c r="AC35" s="1013"/>
      <c r="AD35" s="1013"/>
      <c r="AE35" s="1013"/>
      <c r="AF35" s="955"/>
      <c r="AH35" s="1013"/>
      <c r="AI35" s="1013"/>
      <c r="AJ35" s="1013">
        <v>500</v>
      </c>
      <c r="AK35" s="1013"/>
      <c r="AL35" s="1013"/>
      <c r="AM35" s="1013"/>
      <c r="AN35" s="1013"/>
      <c r="AO35" s="1013"/>
      <c r="AP35" s="1013"/>
      <c r="AQ35" s="1013"/>
      <c r="AR35" s="1013"/>
      <c r="AS35" s="1013"/>
      <c r="AT35" s="972"/>
    </row>
    <row r="36" spans="2:46">
      <c r="B36" s="966"/>
      <c r="C36" s="1010" t="s">
        <v>338</v>
      </c>
      <c r="D36" s="1010" t="s">
        <v>418</v>
      </c>
      <c r="E36" s="955"/>
      <c r="F36" s="1013">
        <v>500</v>
      </c>
      <c r="G36" s="1013"/>
      <c r="H36" s="1013"/>
      <c r="I36" s="1013"/>
      <c r="J36" s="1013"/>
      <c r="K36" s="1013"/>
      <c r="L36" s="1013"/>
      <c r="M36" s="1013"/>
      <c r="N36" s="1013"/>
      <c r="O36" s="1013"/>
      <c r="P36" s="1013"/>
      <c r="Q36" s="1013"/>
      <c r="R36" s="955"/>
      <c r="S36" s="657"/>
      <c r="T36" s="1013"/>
      <c r="U36" s="1013">
        <v>500</v>
      </c>
      <c r="V36" s="1013"/>
      <c r="W36" s="1013"/>
      <c r="X36" s="1013"/>
      <c r="Y36" s="1013"/>
      <c r="Z36" s="1013"/>
      <c r="AA36" s="1013"/>
      <c r="AB36" s="1013"/>
      <c r="AC36" s="1013"/>
      <c r="AD36" s="1013"/>
      <c r="AE36" s="1013"/>
      <c r="AF36" s="955"/>
      <c r="AH36" s="1013"/>
      <c r="AI36" s="1013"/>
      <c r="AJ36" s="1013">
        <v>500</v>
      </c>
      <c r="AK36" s="1013"/>
      <c r="AL36" s="1013"/>
      <c r="AM36" s="1013"/>
      <c r="AN36" s="1013"/>
      <c r="AO36" s="1013"/>
      <c r="AP36" s="1013"/>
      <c r="AQ36" s="1013"/>
      <c r="AR36" s="1013"/>
      <c r="AS36" s="1013"/>
      <c r="AT36" s="972"/>
    </row>
    <row r="37" spans="2:46">
      <c r="B37" s="966"/>
      <c r="C37" s="1010"/>
      <c r="D37" s="1010"/>
      <c r="E37" s="955"/>
      <c r="F37" s="1013"/>
      <c r="G37" s="1013"/>
      <c r="H37" s="1013"/>
      <c r="I37" s="1013"/>
      <c r="J37" s="1013"/>
      <c r="K37" s="1013"/>
      <c r="L37" s="1013"/>
      <c r="M37" s="1013"/>
      <c r="N37" s="1013"/>
      <c r="O37" s="1013"/>
      <c r="P37" s="1013"/>
      <c r="Q37" s="1013"/>
      <c r="R37" s="955"/>
      <c r="S37" s="657"/>
      <c r="T37" s="1013"/>
      <c r="U37" s="1013"/>
      <c r="V37" s="1013"/>
      <c r="W37" s="1013"/>
      <c r="X37" s="1013"/>
      <c r="Y37" s="1013"/>
      <c r="Z37" s="1013"/>
      <c r="AA37" s="1013"/>
      <c r="AB37" s="1013"/>
      <c r="AC37" s="1013"/>
      <c r="AD37" s="1013"/>
      <c r="AE37" s="1013"/>
      <c r="AF37" s="955"/>
      <c r="AH37" s="1013"/>
      <c r="AI37" s="1013"/>
      <c r="AJ37" s="1013"/>
      <c r="AK37" s="1013"/>
      <c r="AL37" s="1013"/>
      <c r="AM37" s="1013"/>
      <c r="AN37" s="1013"/>
      <c r="AO37" s="1013"/>
      <c r="AP37" s="1013"/>
      <c r="AQ37" s="1013"/>
      <c r="AR37" s="1013"/>
      <c r="AS37" s="1013"/>
      <c r="AT37" s="972"/>
    </row>
    <row r="38" spans="2:46">
      <c r="B38" s="966"/>
      <c r="C38" s="1010"/>
      <c r="D38" s="1010"/>
      <c r="E38" s="955"/>
      <c r="F38" s="1013"/>
      <c r="G38" s="1013"/>
      <c r="H38" s="1013"/>
      <c r="I38" s="1013"/>
      <c r="J38" s="1013"/>
      <c r="K38" s="1013"/>
      <c r="L38" s="1013"/>
      <c r="M38" s="1013"/>
      <c r="N38" s="1013"/>
      <c r="O38" s="1013"/>
      <c r="P38" s="1013"/>
      <c r="Q38" s="1013"/>
      <c r="R38" s="955"/>
      <c r="S38" s="657"/>
      <c r="T38" s="1013"/>
      <c r="U38" s="1013"/>
      <c r="V38" s="1013"/>
      <c r="W38" s="1013"/>
      <c r="X38" s="1013"/>
      <c r="Y38" s="1013"/>
      <c r="Z38" s="1013"/>
      <c r="AA38" s="1013"/>
      <c r="AB38" s="1013"/>
      <c r="AC38" s="1013"/>
      <c r="AD38" s="1013"/>
      <c r="AE38" s="1013"/>
      <c r="AF38" s="955"/>
      <c r="AH38" s="1013"/>
      <c r="AI38" s="1013"/>
      <c r="AJ38" s="1013"/>
      <c r="AK38" s="1013"/>
      <c r="AL38" s="1013"/>
      <c r="AM38" s="1013"/>
      <c r="AN38" s="1013"/>
      <c r="AO38" s="1013"/>
      <c r="AP38" s="1013"/>
      <c r="AQ38" s="1013"/>
      <c r="AR38" s="1013"/>
      <c r="AS38" s="1013"/>
      <c r="AT38" s="972"/>
    </row>
    <row r="39" spans="2:46">
      <c r="B39" s="966"/>
      <c r="C39" s="953" t="s">
        <v>75</v>
      </c>
      <c r="D39" s="953" t="s">
        <v>274</v>
      </c>
      <c r="E39" s="973"/>
      <c r="F39" s="954">
        <f>SUM(F35:F38)</f>
        <v>1000</v>
      </c>
      <c r="G39" s="954">
        <f t="shared" ref="G39:Q39" si="12">SUM(G35:G38)</f>
        <v>0</v>
      </c>
      <c r="H39" s="954">
        <f t="shared" si="12"/>
        <v>0</v>
      </c>
      <c r="I39" s="954">
        <f t="shared" si="12"/>
        <v>0</v>
      </c>
      <c r="J39" s="954">
        <f t="shared" si="12"/>
        <v>0</v>
      </c>
      <c r="K39" s="954">
        <f t="shared" si="12"/>
        <v>0</v>
      </c>
      <c r="L39" s="954">
        <f t="shared" si="12"/>
        <v>0</v>
      </c>
      <c r="M39" s="954">
        <f t="shared" si="12"/>
        <v>0</v>
      </c>
      <c r="N39" s="954">
        <f t="shared" si="12"/>
        <v>0</v>
      </c>
      <c r="O39" s="954">
        <f t="shared" si="12"/>
        <v>0</v>
      </c>
      <c r="P39" s="954">
        <f t="shared" si="12"/>
        <v>0</v>
      </c>
      <c r="Q39" s="954">
        <f t="shared" si="12"/>
        <v>0</v>
      </c>
      <c r="R39" s="954">
        <f>SUM(F39:Q39)</f>
        <v>1000</v>
      </c>
      <c r="S39" s="659"/>
      <c r="T39" s="954">
        <f>SUM(T35:T38)</f>
        <v>0</v>
      </c>
      <c r="U39" s="954">
        <f t="shared" ref="U39:AE39" si="13">SUM(U35:U38)</f>
        <v>1000</v>
      </c>
      <c r="V39" s="954">
        <f t="shared" si="13"/>
        <v>0</v>
      </c>
      <c r="W39" s="954">
        <f t="shared" si="13"/>
        <v>0</v>
      </c>
      <c r="X39" s="954">
        <f t="shared" si="13"/>
        <v>0</v>
      </c>
      <c r="Y39" s="954">
        <f t="shared" si="13"/>
        <v>0</v>
      </c>
      <c r="Z39" s="954">
        <f t="shared" si="13"/>
        <v>0</v>
      </c>
      <c r="AA39" s="954">
        <f t="shared" si="13"/>
        <v>0</v>
      </c>
      <c r="AB39" s="954">
        <f t="shared" si="13"/>
        <v>0</v>
      </c>
      <c r="AC39" s="954">
        <f t="shared" si="13"/>
        <v>0</v>
      </c>
      <c r="AD39" s="954">
        <f t="shared" si="13"/>
        <v>0</v>
      </c>
      <c r="AE39" s="954">
        <f t="shared" si="13"/>
        <v>0</v>
      </c>
      <c r="AF39" s="954">
        <f>SUM(T39:AE39)</f>
        <v>1000</v>
      </c>
      <c r="AH39" s="954">
        <f>SUM(AH35:AH38)</f>
        <v>0</v>
      </c>
      <c r="AI39" s="954">
        <f t="shared" ref="AI39:AS39" si="14">SUM(AI35:AI38)</f>
        <v>0</v>
      </c>
      <c r="AJ39" s="954">
        <f t="shared" si="14"/>
        <v>1000</v>
      </c>
      <c r="AK39" s="954">
        <f t="shared" si="14"/>
        <v>0</v>
      </c>
      <c r="AL39" s="954">
        <f t="shared" si="14"/>
        <v>0</v>
      </c>
      <c r="AM39" s="954">
        <f t="shared" si="14"/>
        <v>0</v>
      </c>
      <c r="AN39" s="954">
        <f t="shared" si="14"/>
        <v>0</v>
      </c>
      <c r="AO39" s="954">
        <f t="shared" si="14"/>
        <v>0</v>
      </c>
      <c r="AP39" s="954">
        <f t="shared" si="14"/>
        <v>0</v>
      </c>
      <c r="AQ39" s="954">
        <f t="shared" si="14"/>
        <v>0</v>
      </c>
      <c r="AR39" s="954">
        <f t="shared" si="14"/>
        <v>0</v>
      </c>
      <c r="AS39" s="954">
        <f t="shared" si="14"/>
        <v>0</v>
      </c>
      <c r="AT39" s="974">
        <f>SUM(AH39:AS39)</f>
        <v>1000</v>
      </c>
    </row>
    <row r="40" spans="2:46">
      <c r="B40" s="966"/>
      <c r="S40" s="657"/>
      <c r="AT40" s="659"/>
    </row>
    <row r="41" spans="2:46">
      <c r="B41" s="966"/>
      <c r="C41" s="275"/>
      <c r="D41" s="275"/>
      <c r="E41" s="202"/>
      <c r="F41" s="276"/>
      <c r="G41" s="276"/>
      <c r="H41" s="276"/>
      <c r="I41" s="276"/>
      <c r="J41" s="276"/>
      <c r="K41" s="276"/>
      <c r="L41" s="276"/>
      <c r="M41" s="276"/>
      <c r="N41" s="276"/>
      <c r="O41" s="276"/>
      <c r="P41" s="276"/>
      <c r="Q41" s="276"/>
      <c r="R41" s="202"/>
      <c r="S41" s="657"/>
      <c r="T41" s="276"/>
      <c r="U41" s="276"/>
      <c r="V41" s="276"/>
      <c r="W41" s="276"/>
      <c r="X41" s="276"/>
      <c r="Y41" s="276"/>
      <c r="Z41" s="276"/>
      <c r="AA41" s="276"/>
      <c r="AB41" s="276"/>
      <c r="AC41" s="276"/>
      <c r="AD41" s="276"/>
      <c r="AE41" s="276"/>
      <c r="AF41" s="202"/>
      <c r="AH41" s="276"/>
      <c r="AI41" s="276"/>
      <c r="AJ41" s="276"/>
      <c r="AK41" s="276"/>
      <c r="AL41" s="276"/>
      <c r="AM41" s="276"/>
      <c r="AN41" s="276"/>
      <c r="AO41" s="276"/>
      <c r="AP41" s="276"/>
      <c r="AQ41" s="276"/>
      <c r="AR41" s="276"/>
      <c r="AS41" s="276"/>
      <c r="AT41" s="976"/>
    </row>
    <row r="42" spans="2:46" s="202" customFormat="1" ht="16">
      <c r="B42" s="975"/>
      <c r="C42" s="945" t="s">
        <v>339</v>
      </c>
      <c r="D42" s="945" t="s">
        <v>420</v>
      </c>
      <c r="F42" s="950" t="s">
        <v>259</v>
      </c>
      <c r="G42" s="951" t="s">
        <v>260</v>
      </c>
      <c r="H42" s="951" t="s">
        <v>48</v>
      </c>
      <c r="I42" s="951" t="s">
        <v>7</v>
      </c>
      <c r="J42" s="951" t="s">
        <v>49</v>
      </c>
      <c r="K42" s="951" t="s">
        <v>9</v>
      </c>
      <c r="L42" s="951" t="s">
        <v>10</v>
      </c>
      <c r="M42" s="951" t="s">
        <v>11</v>
      </c>
      <c r="N42" s="951" t="s">
        <v>12</v>
      </c>
      <c r="O42" s="951" t="s">
        <v>50</v>
      </c>
      <c r="P42" s="951" t="s">
        <v>2</v>
      </c>
      <c r="Q42" s="952" t="s">
        <v>51</v>
      </c>
      <c r="S42" s="658"/>
      <c r="T42" s="654" t="s">
        <v>4</v>
      </c>
      <c r="U42" s="655" t="s">
        <v>5</v>
      </c>
      <c r="V42" s="655" t="s">
        <v>48</v>
      </c>
      <c r="W42" s="655" t="s">
        <v>7</v>
      </c>
      <c r="X42" s="655" t="s">
        <v>49</v>
      </c>
      <c r="Y42" s="655" t="s">
        <v>9</v>
      </c>
      <c r="Z42" s="655" t="s">
        <v>10</v>
      </c>
      <c r="AA42" s="655" t="s">
        <v>11</v>
      </c>
      <c r="AB42" s="655" t="s">
        <v>12</v>
      </c>
      <c r="AC42" s="655" t="s">
        <v>50</v>
      </c>
      <c r="AD42" s="655" t="s">
        <v>2</v>
      </c>
      <c r="AE42" s="656" t="s">
        <v>51</v>
      </c>
      <c r="AH42" s="654" t="s">
        <v>4</v>
      </c>
      <c r="AI42" s="655" t="s">
        <v>5</v>
      </c>
      <c r="AJ42" s="655" t="s">
        <v>48</v>
      </c>
      <c r="AK42" s="655" t="s">
        <v>7</v>
      </c>
      <c r="AL42" s="655" t="s">
        <v>49</v>
      </c>
      <c r="AM42" s="655" t="s">
        <v>9</v>
      </c>
      <c r="AN42" s="655" t="s">
        <v>10</v>
      </c>
      <c r="AO42" s="655" t="s">
        <v>11</v>
      </c>
      <c r="AP42" s="655" t="s">
        <v>12</v>
      </c>
      <c r="AQ42" s="655" t="s">
        <v>50</v>
      </c>
      <c r="AR42" s="655" t="s">
        <v>2</v>
      </c>
      <c r="AS42" s="656" t="s">
        <v>51</v>
      </c>
      <c r="AT42" s="976"/>
    </row>
    <row r="43" spans="2:46">
      <c r="B43" s="966"/>
      <c r="C43" s="1010" t="s">
        <v>340</v>
      </c>
      <c r="D43" s="1010" t="s">
        <v>421</v>
      </c>
      <c r="E43" s="955"/>
      <c r="F43" s="1013">
        <v>100</v>
      </c>
      <c r="G43" s="1013"/>
      <c r="H43" s="1013"/>
      <c r="I43" s="1013"/>
      <c r="J43" s="1013"/>
      <c r="K43" s="1013"/>
      <c r="L43" s="1013"/>
      <c r="M43" s="1013"/>
      <c r="N43" s="1013"/>
      <c r="O43" s="1013"/>
      <c r="P43" s="1013"/>
      <c r="Q43" s="1013"/>
      <c r="R43" s="955"/>
      <c r="S43" s="657"/>
      <c r="T43" s="1013"/>
      <c r="U43" s="1013">
        <v>100</v>
      </c>
      <c r="V43" s="1013"/>
      <c r="W43" s="1013"/>
      <c r="X43" s="1013"/>
      <c r="Y43" s="1013"/>
      <c r="Z43" s="1013"/>
      <c r="AA43" s="1013"/>
      <c r="AB43" s="1013"/>
      <c r="AC43" s="1013"/>
      <c r="AD43" s="1013"/>
      <c r="AE43" s="1013"/>
      <c r="AF43" s="955"/>
      <c r="AH43" s="1013"/>
      <c r="AI43" s="1013"/>
      <c r="AJ43" s="1013">
        <v>100</v>
      </c>
      <c r="AK43" s="1013"/>
      <c r="AL43" s="1013"/>
      <c r="AM43" s="1013"/>
      <c r="AN43" s="1013"/>
      <c r="AO43" s="1013"/>
      <c r="AP43" s="1013"/>
      <c r="AQ43" s="1013"/>
      <c r="AR43" s="1013"/>
      <c r="AS43" s="1013"/>
      <c r="AT43" s="972"/>
    </row>
    <row r="44" spans="2:46">
      <c r="B44" s="966"/>
      <c r="C44" s="1010" t="s">
        <v>341</v>
      </c>
      <c r="D44" s="1010" t="s">
        <v>422</v>
      </c>
      <c r="E44" s="955"/>
      <c r="F44" s="1013">
        <v>100</v>
      </c>
      <c r="G44" s="1013"/>
      <c r="H44" s="1013"/>
      <c r="I44" s="1013"/>
      <c r="J44" s="1013"/>
      <c r="K44" s="1013"/>
      <c r="L44" s="1013"/>
      <c r="M44" s="1013"/>
      <c r="N44" s="1013"/>
      <c r="O44" s="1013"/>
      <c r="P44" s="1013"/>
      <c r="Q44" s="1013"/>
      <c r="R44" s="955"/>
      <c r="S44" s="657"/>
      <c r="T44" s="1013"/>
      <c r="U44" s="1013">
        <v>100</v>
      </c>
      <c r="V44" s="1013"/>
      <c r="W44" s="1013"/>
      <c r="X44" s="1013"/>
      <c r="Y44" s="1013"/>
      <c r="Z44" s="1013"/>
      <c r="AA44" s="1013"/>
      <c r="AB44" s="1013"/>
      <c r="AC44" s="1013"/>
      <c r="AD44" s="1013"/>
      <c r="AE44" s="1013"/>
      <c r="AF44" s="955"/>
      <c r="AH44" s="1013"/>
      <c r="AI44" s="1013"/>
      <c r="AJ44" s="1013">
        <v>100</v>
      </c>
      <c r="AK44" s="1013"/>
      <c r="AL44" s="1013"/>
      <c r="AM44" s="1013"/>
      <c r="AN44" s="1013"/>
      <c r="AO44" s="1013"/>
      <c r="AP44" s="1013"/>
      <c r="AQ44" s="1013"/>
      <c r="AR44" s="1013"/>
      <c r="AS44" s="1013"/>
      <c r="AT44" s="972"/>
    </row>
    <row r="45" spans="2:46">
      <c r="B45" s="966"/>
      <c r="C45" s="1010" t="s">
        <v>342</v>
      </c>
      <c r="D45" s="1010" t="s">
        <v>423</v>
      </c>
      <c r="E45" s="955"/>
      <c r="F45" s="1013">
        <v>100</v>
      </c>
      <c r="G45" s="1013"/>
      <c r="H45" s="1013"/>
      <c r="I45" s="1013"/>
      <c r="J45" s="1013"/>
      <c r="K45" s="1013"/>
      <c r="L45" s="1013"/>
      <c r="M45" s="1013"/>
      <c r="N45" s="1013"/>
      <c r="O45" s="1013"/>
      <c r="P45" s="1013"/>
      <c r="Q45" s="1013"/>
      <c r="R45" s="955"/>
      <c r="S45" s="657"/>
      <c r="T45" s="1013"/>
      <c r="U45" s="1013">
        <v>100</v>
      </c>
      <c r="V45" s="1013"/>
      <c r="W45" s="1013"/>
      <c r="X45" s="1013"/>
      <c r="Y45" s="1013"/>
      <c r="Z45" s="1013"/>
      <c r="AA45" s="1013"/>
      <c r="AB45" s="1013"/>
      <c r="AC45" s="1013"/>
      <c r="AD45" s="1013"/>
      <c r="AE45" s="1013"/>
      <c r="AF45" s="955"/>
      <c r="AH45" s="1013"/>
      <c r="AI45" s="1013"/>
      <c r="AJ45" s="1013">
        <v>100</v>
      </c>
      <c r="AK45" s="1013"/>
      <c r="AL45" s="1013"/>
      <c r="AM45" s="1013"/>
      <c r="AN45" s="1013"/>
      <c r="AO45" s="1013"/>
      <c r="AP45" s="1013"/>
      <c r="AQ45" s="1013"/>
      <c r="AR45" s="1013"/>
      <c r="AS45" s="1013"/>
      <c r="AT45" s="972"/>
    </row>
    <row r="46" spans="2:46">
      <c r="B46" s="966"/>
      <c r="C46" s="953" t="s">
        <v>75</v>
      </c>
      <c r="D46" s="953" t="s">
        <v>274</v>
      </c>
      <c r="E46" s="973"/>
      <c r="F46" s="954">
        <f t="shared" ref="F46:Q46" si="15">SUM(F43:F45)</f>
        <v>300</v>
      </c>
      <c r="G46" s="954">
        <f t="shared" si="15"/>
        <v>0</v>
      </c>
      <c r="H46" s="954">
        <f t="shared" si="15"/>
        <v>0</v>
      </c>
      <c r="I46" s="954">
        <f t="shared" si="15"/>
        <v>0</v>
      </c>
      <c r="J46" s="954">
        <f t="shared" si="15"/>
        <v>0</v>
      </c>
      <c r="K46" s="954">
        <f t="shared" si="15"/>
        <v>0</v>
      </c>
      <c r="L46" s="954">
        <f t="shared" si="15"/>
        <v>0</v>
      </c>
      <c r="M46" s="954">
        <f t="shared" si="15"/>
        <v>0</v>
      </c>
      <c r="N46" s="954">
        <f t="shared" si="15"/>
        <v>0</v>
      </c>
      <c r="O46" s="954">
        <f t="shared" si="15"/>
        <v>0</v>
      </c>
      <c r="P46" s="954">
        <f t="shared" si="15"/>
        <v>0</v>
      </c>
      <c r="Q46" s="954">
        <f t="shared" si="15"/>
        <v>0</v>
      </c>
      <c r="R46" s="954">
        <f>SUM(F46:Q46)</f>
        <v>300</v>
      </c>
      <c r="S46" s="659"/>
      <c r="T46" s="954">
        <f t="shared" ref="T46:AE46" si="16">SUM(T43:T45)</f>
        <v>0</v>
      </c>
      <c r="U46" s="954">
        <f t="shared" si="16"/>
        <v>300</v>
      </c>
      <c r="V46" s="954">
        <f t="shared" si="16"/>
        <v>0</v>
      </c>
      <c r="W46" s="954">
        <f t="shared" si="16"/>
        <v>0</v>
      </c>
      <c r="X46" s="954">
        <f t="shared" si="16"/>
        <v>0</v>
      </c>
      <c r="Y46" s="954">
        <f t="shared" si="16"/>
        <v>0</v>
      </c>
      <c r="Z46" s="954">
        <f t="shared" si="16"/>
        <v>0</v>
      </c>
      <c r="AA46" s="954">
        <f t="shared" si="16"/>
        <v>0</v>
      </c>
      <c r="AB46" s="954">
        <f t="shared" si="16"/>
        <v>0</v>
      </c>
      <c r="AC46" s="954">
        <f t="shared" si="16"/>
        <v>0</v>
      </c>
      <c r="AD46" s="954">
        <f t="shared" si="16"/>
        <v>0</v>
      </c>
      <c r="AE46" s="954">
        <f t="shared" si="16"/>
        <v>0</v>
      </c>
      <c r="AF46" s="954">
        <f>SUM(T46:AE46)</f>
        <v>300</v>
      </c>
      <c r="AH46" s="954">
        <f t="shared" ref="AH46:AS46" si="17">SUM(AH43:AH45)</f>
        <v>0</v>
      </c>
      <c r="AI46" s="954">
        <f t="shared" si="17"/>
        <v>0</v>
      </c>
      <c r="AJ46" s="954">
        <f t="shared" si="17"/>
        <v>300</v>
      </c>
      <c r="AK46" s="954">
        <f t="shared" si="17"/>
        <v>0</v>
      </c>
      <c r="AL46" s="954">
        <f t="shared" si="17"/>
        <v>0</v>
      </c>
      <c r="AM46" s="954">
        <f t="shared" si="17"/>
        <v>0</v>
      </c>
      <c r="AN46" s="954">
        <f t="shared" si="17"/>
        <v>0</v>
      </c>
      <c r="AO46" s="954">
        <f t="shared" si="17"/>
        <v>0</v>
      </c>
      <c r="AP46" s="954">
        <f t="shared" si="17"/>
        <v>0</v>
      </c>
      <c r="AQ46" s="954">
        <f t="shared" si="17"/>
        <v>0</v>
      </c>
      <c r="AR46" s="954">
        <f t="shared" si="17"/>
        <v>0</v>
      </c>
      <c r="AS46" s="954">
        <f t="shared" si="17"/>
        <v>0</v>
      </c>
      <c r="AT46" s="974">
        <f>SUM(AH46:AS46)</f>
        <v>300</v>
      </c>
    </row>
    <row r="47" spans="2:46">
      <c r="B47" s="966"/>
      <c r="C47" s="978"/>
      <c r="D47" s="978"/>
      <c r="E47" s="202"/>
      <c r="F47" s="274"/>
      <c r="G47" s="274"/>
      <c r="H47" s="274"/>
      <c r="I47" s="274"/>
      <c r="J47" s="274"/>
      <c r="K47" s="274"/>
      <c r="L47" s="274"/>
      <c r="M47" s="274"/>
      <c r="N47" s="274"/>
      <c r="O47" s="274"/>
      <c r="P47" s="274"/>
      <c r="Q47" s="274"/>
      <c r="R47" s="202"/>
      <c r="S47" s="657"/>
      <c r="T47" s="274"/>
      <c r="U47" s="274"/>
      <c r="V47" s="274"/>
      <c r="W47" s="274"/>
      <c r="X47" s="274"/>
      <c r="Y47" s="274"/>
      <c r="Z47" s="274"/>
      <c r="AA47" s="274"/>
      <c r="AB47" s="274"/>
      <c r="AC47" s="274"/>
      <c r="AD47" s="274"/>
      <c r="AE47" s="274"/>
      <c r="AF47" s="202"/>
      <c r="AH47" s="274"/>
      <c r="AI47" s="274"/>
      <c r="AJ47" s="274"/>
      <c r="AK47" s="274"/>
      <c r="AL47" s="274"/>
      <c r="AM47" s="274"/>
      <c r="AN47" s="274"/>
      <c r="AO47" s="274"/>
      <c r="AP47" s="274"/>
      <c r="AQ47" s="274"/>
      <c r="AR47" s="274"/>
      <c r="AS47" s="274"/>
      <c r="AT47" s="976"/>
    </row>
    <row r="48" spans="2:46" s="202" customFormat="1" ht="16">
      <c r="B48" s="975"/>
      <c r="C48" s="945" t="s">
        <v>343</v>
      </c>
      <c r="D48" s="945" t="s">
        <v>424</v>
      </c>
      <c r="F48" s="950" t="s">
        <v>259</v>
      </c>
      <c r="G48" s="951" t="s">
        <v>260</v>
      </c>
      <c r="H48" s="951" t="s">
        <v>48</v>
      </c>
      <c r="I48" s="951" t="s">
        <v>7</v>
      </c>
      <c r="J48" s="951" t="s">
        <v>49</v>
      </c>
      <c r="K48" s="951" t="s">
        <v>9</v>
      </c>
      <c r="L48" s="951" t="s">
        <v>10</v>
      </c>
      <c r="M48" s="951" t="s">
        <v>11</v>
      </c>
      <c r="N48" s="951" t="s">
        <v>12</v>
      </c>
      <c r="O48" s="951" t="s">
        <v>50</v>
      </c>
      <c r="P48" s="951" t="s">
        <v>2</v>
      </c>
      <c r="Q48" s="952" t="s">
        <v>51</v>
      </c>
      <c r="S48" s="658"/>
      <c r="T48" s="950" t="s">
        <v>4</v>
      </c>
      <c r="U48" s="951" t="s">
        <v>5</v>
      </c>
      <c r="V48" s="951" t="s">
        <v>48</v>
      </c>
      <c r="W48" s="951" t="s">
        <v>7</v>
      </c>
      <c r="X48" s="951" t="s">
        <v>49</v>
      </c>
      <c r="Y48" s="951" t="s">
        <v>9</v>
      </c>
      <c r="Z48" s="951" t="s">
        <v>10</v>
      </c>
      <c r="AA48" s="951" t="s">
        <v>11</v>
      </c>
      <c r="AB48" s="951" t="s">
        <v>12</v>
      </c>
      <c r="AC48" s="951" t="s">
        <v>50</v>
      </c>
      <c r="AD48" s="951" t="s">
        <v>2</v>
      </c>
      <c r="AE48" s="952" t="s">
        <v>51</v>
      </c>
      <c r="AH48" s="950" t="s">
        <v>4</v>
      </c>
      <c r="AI48" s="951" t="s">
        <v>5</v>
      </c>
      <c r="AJ48" s="951" t="s">
        <v>48</v>
      </c>
      <c r="AK48" s="951" t="s">
        <v>7</v>
      </c>
      <c r="AL48" s="951" t="s">
        <v>49</v>
      </c>
      <c r="AM48" s="951" t="s">
        <v>9</v>
      </c>
      <c r="AN48" s="951" t="s">
        <v>10</v>
      </c>
      <c r="AO48" s="951" t="s">
        <v>11</v>
      </c>
      <c r="AP48" s="951" t="s">
        <v>12</v>
      </c>
      <c r="AQ48" s="951" t="s">
        <v>50</v>
      </c>
      <c r="AR48" s="951" t="s">
        <v>2</v>
      </c>
      <c r="AS48" s="952" t="s">
        <v>51</v>
      </c>
      <c r="AT48" s="976"/>
    </row>
    <row r="49" spans="2:46">
      <c r="B49" s="966"/>
      <c r="C49" s="1010" t="s">
        <v>425</v>
      </c>
      <c r="D49" s="1010" t="s">
        <v>426</v>
      </c>
      <c r="E49" s="955"/>
      <c r="F49" s="1013">
        <v>200</v>
      </c>
      <c r="G49" s="1013"/>
      <c r="H49" s="1013"/>
      <c r="I49" s="1013"/>
      <c r="J49" s="1013"/>
      <c r="K49" s="1013"/>
      <c r="L49" s="1013"/>
      <c r="M49" s="1013"/>
      <c r="N49" s="1013"/>
      <c r="O49" s="1013"/>
      <c r="P49" s="1013"/>
      <c r="Q49" s="1013"/>
      <c r="R49" s="955"/>
      <c r="S49" s="657"/>
      <c r="T49" s="1013"/>
      <c r="U49" s="1013">
        <v>200</v>
      </c>
      <c r="V49" s="1013"/>
      <c r="W49" s="1013"/>
      <c r="X49" s="1013"/>
      <c r="Y49" s="1013"/>
      <c r="Z49" s="1013"/>
      <c r="AA49" s="1013"/>
      <c r="AB49" s="1013"/>
      <c r="AC49" s="1013"/>
      <c r="AD49" s="1013"/>
      <c r="AE49" s="1013"/>
      <c r="AF49" s="955"/>
      <c r="AH49" s="1013"/>
      <c r="AI49" s="1013"/>
      <c r="AJ49" s="1013">
        <v>200</v>
      </c>
      <c r="AK49" s="1013"/>
      <c r="AL49" s="1013"/>
      <c r="AM49" s="1013"/>
      <c r="AN49" s="1013"/>
      <c r="AO49" s="1013"/>
      <c r="AP49" s="1013"/>
      <c r="AQ49" s="1013"/>
      <c r="AR49" s="1013"/>
      <c r="AS49" s="1013"/>
      <c r="AT49" s="972"/>
    </row>
    <row r="50" spans="2:46">
      <c r="B50" s="966"/>
      <c r="C50" s="1010" t="s">
        <v>344</v>
      </c>
      <c r="D50" s="1010" t="s">
        <v>427</v>
      </c>
      <c r="E50" s="955"/>
      <c r="F50" s="1013">
        <v>200</v>
      </c>
      <c r="G50" s="1013"/>
      <c r="H50" s="1013"/>
      <c r="I50" s="1013"/>
      <c r="J50" s="1013"/>
      <c r="K50" s="1013"/>
      <c r="L50" s="1013"/>
      <c r="M50" s="1013"/>
      <c r="N50" s="1013"/>
      <c r="O50" s="1013"/>
      <c r="P50" s="1013"/>
      <c r="Q50" s="1013"/>
      <c r="R50" s="955"/>
      <c r="S50" s="657"/>
      <c r="T50" s="1013"/>
      <c r="U50" s="1013">
        <v>200</v>
      </c>
      <c r="V50" s="1013"/>
      <c r="W50" s="1013"/>
      <c r="X50" s="1013"/>
      <c r="Y50" s="1013"/>
      <c r="Z50" s="1013"/>
      <c r="AA50" s="1013"/>
      <c r="AB50" s="1013"/>
      <c r="AC50" s="1013"/>
      <c r="AD50" s="1013"/>
      <c r="AE50" s="1013"/>
      <c r="AF50" s="955"/>
      <c r="AH50" s="1013"/>
      <c r="AI50" s="1013"/>
      <c r="AJ50" s="1013">
        <v>200</v>
      </c>
      <c r="AK50" s="1013"/>
      <c r="AL50" s="1013"/>
      <c r="AM50" s="1013"/>
      <c r="AN50" s="1013"/>
      <c r="AO50" s="1013"/>
      <c r="AP50" s="1013"/>
      <c r="AQ50" s="1013"/>
      <c r="AR50" s="1013"/>
      <c r="AS50" s="1013"/>
      <c r="AT50" s="972"/>
    </row>
    <row r="51" spans="2:46">
      <c r="B51" s="966"/>
      <c r="C51" s="1010" t="s">
        <v>345</v>
      </c>
      <c r="D51" s="1010" t="s">
        <v>428</v>
      </c>
      <c r="E51" s="955"/>
      <c r="F51" s="1013"/>
      <c r="G51" s="1013"/>
      <c r="H51" s="1013"/>
      <c r="I51" s="1013"/>
      <c r="J51" s="1013"/>
      <c r="K51" s="1013"/>
      <c r="L51" s="1013"/>
      <c r="M51" s="1013"/>
      <c r="N51" s="1013"/>
      <c r="O51" s="1013"/>
      <c r="P51" s="1013"/>
      <c r="Q51" s="1013"/>
      <c r="R51" s="955"/>
      <c r="S51" s="657"/>
      <c r="T51" s="1013"/>
      <c r="U51" s="1013"/>
      <c r="V51" s="1013"/>
      <c r="W51" s="1013"/>
      <c r="X51" s="1013"/>
      <c r="Y51" s="1013"/>
      <c r="Z51" s="1013"/>
      <c r="AA51" s="1013"/>
      <c r="AB51" s="1013"/>
      <c r="AC51" s="1013"/>
      <c r="AD51" s="1013"/>
      <c r="AE51" s="1013"/>
      <c r="AF51" s="955"/>
      <c r="AH51" s="1013"/>
      <c r="AI51" s="1013"/>
      <c r="AJ51" s="1013"/>
      <c r="AK51" s="1013"/>
      <c r="AL51" s="1013"/>
      <c r="AM51" s="1013"/>
      <c r="AN51" s="1013"/>
      <c r="AO51" s="1013"/>
      <c r="AP51" s="1013"/>
      <c r="AQ51" s="1013"/>
      <c r="AR51" s="1013"/>
      <c r="AS51" s="1013"/>
      <c r="AT51" s="972"/>
    </row>
    <row r="52" spans="2:46">
      <c r="B52" s="966"/>
      <c r="C52" s="953" t="s">
        <v>75</v>
      </c>
      <c r="D52" s="953" t="s">
        <v>274</v>
      </c>
      <c r="E52" s="973"/>
      <c r="F52" s="954">
        <f t="shared" ref="F52:Q52" si="18">SUM(F49:F51)</f>
        <v>400</v>
      </c>
      <c r="G52" s="954">
        <f t="shared" si="18"/>
        <v>0</v>
      </c>
      <c r="H52" s="954">
        <f t="shared" si="18"/>
        <v>0</v>
      </c>
      <c r="I52" s="954">
        <f t="shared" si="18"/>
        <v>0</v>
      </c>
      <c r="J52" s="954">
        <f t="shared" si="18"/>
        <v>0</v>
      </c>
      <c r="K52" s="954">
        <f t="shared" si="18"/>
        <v>0</v>
      </c>
      <c r="L52" s="954">
        <f t="shared" si="18"/>
        <v>0</v>
      </c>
      <c r="M52" s="954">
        <f t="shared" si="18"/>
        <v>0</v>
      </c>
      <c r="N52" s="954">
        <f t="shared" si="18"/>
        <v>0</v>
      </c>
      <c r="O52" s="954">
        <f t="shared" si="18"/>
        <v>0</v>
      </c>
      <c r="P52" s="954">
        <f>SUM(P49:P51)</f>
        <v>0</v>
      </c>
      <c r="Q52" s="954">
        <f t="shared" si="18"/>
        <v>0</v>
      </c>
      <c r="R52" s="954">
        <f>SUM(F52:Q52)</f>
        <v>400</v>
      </c>
      <c r="S52" s="659"/>
      <c r="T52" s="954">
        <f t="shared" ref="T52:AC52" si="19">SUM(T49:T51)</f>
        <v>0</v>
      </c>
      <c r="U52" s="954">
        <f t="shared" si="19"/>
        <v>400</v>
      </c>
      <c r="V52" s="954">
        <f t="shared" si="19"/>
        <v>0</v>
      </c>
      <c r="W52" s="954">
        <f t="shared" si="19"/>
        <v>0</v>
      </c>
      <c r="X52" s="954">
        <f t="shared" si="19"/>
        <v>0</v>
      </c>
      <c r="Y52" s="954">
        <f t="shared" si="19"/>
        <v>0</v>
      </c>
      <c r="Z52" s="954">
        <f t="shared" si="19"/>
        <v>0</v>
      </c>
      <c r="AA52" s="954">
        <f t="shared" si="19"/>
        <v>0</v>
      </c>
      <c r="AB52" s="954">
        <f t="shared" si="19"/>
        <v>0</v>
      </c>
      <c r="AC52" s="954">
        <f t="shared" si="19"/>
        <v>0</v>
      </c>
      <c r="AD52" s="954">
        <f>SUM(AD49:AD51)</f>
        <v>0</v>
      </c>
      <c r="AE52" s="954">
        <f t="shared" ref="AE52" si="20">SUM(AE49:AE51)</f>
        <v>0</v>
      </c>
      <c r="AF52" s="954">
        <f>SUM(T52:AE52)</f>
        <v>400</v>
      </c>
      <c r="AH52" s="954">
        <f t="shared" ref="AH52:AQ52" si="21">SUM(AH49:AH51)</f>
        <v>0</v>
      </c>
      <c r="AI52" s="954">
        <f t="shared" si="21"/>
        <v>0</v>
      </c>
      <c r="AJ52" s="954">
        <f t="shared" si="21"/>
        <v>400</v>
      </c>
      <c r="AK52" s="954">
        <f t="shared" si="21"/>
        <v>0</v>
      </c>
      <c r="AL52" s="954">
        <f t="shared" si="21"/>
        <v>0</v>
      </c>
      <c r="AM52" s="954">
        <f t="shared" si="21"/>
        <v>0</v>
      </c>
      <c r="AN52" s="954">
        <f t="shared" si="21"/>
        <v>0</v>
      </c>
      <c r="AO52" s="954">
        <f t="shared" si="21"/>
        <v>0</v>
      </c>
      <c r="AP52" s="954">
        <f t="shared" si="21"/>
        <v>0</v>
      </c>
      <c r="AQ52" s="954">
        <f t="shared" si="21"/>
        <v>0</v>
      </c>
      <c r="AR52" s="954">
        <f>SUM(AR49:AR51)</f>
        <v>0</v>
      </c>
      <c r="AS52" s="954">
        <f t="shared" ref="AS52" si="22">SUM(AS49:AS51)</f>
        <v>0</v>
      </c>
      <c r="AT52" s="974">
        <f>SUM(AH52:AS52)</f>
        <v>400</v>
      </c>
    </row>
    <row r="53" spans="2:46">
      <c r="B53" s="966"/>
      <c r="S53" s="657"/>
      <c r="AT53" s="659"/>
    </row>
    <row r="54" spans="2:46" s="202" customFormat="1" ht="16">
      <c r="B54" s="975"/>
      <c r="C54" s="945" t="s">
        <v>346</v>
      </c>
      <c r="D54" s="945" t="s">
        <v>429</v>
      </c>
      <c r="F54" s="950" t="s">
        <v>259</v>
      </c>
      <c r="G54" s="951" t="s">
        <v>260</v>
      </c>
      <c r="H54" s="951" t="s">
        <v>48</v>
      </c>
      <c r="I54" s="951" t="s">
        <v>7</v>
      </c>
      <c r="J54" s="951" t="s">
        <v>49</v>
      </c>
      <c r="K54" s="951" t="s">
        <v>9</v>
      </c>
      <c r="L54" s="951" t="s">
        <v>10</v>
      </c>
      <c r="M54" s="951" t="s">
        <v>11</v>
      </c>
      <c r="N54" s="951" t="s">
        <v>12</v>
      </c>
      <c r="O54" s="951" t="s">
        <v>50</v>
      </c>
      <c r="P54" s="951" t="s">
        <v>2</v>
      </c>
      <c r="Q54" s="952" t="s">
        <v>51</v>
      </c>
      <c r="S54" s="658"/>
      <c r="T54" s="950" t="s">
        <v>4</v>
      </c>
      <c r="U54" s="951" t="s">
        <v>5</v>
      </c>
      <c r="V54" s="951" t="s">
        <v>48</v>
      </c>
      <c r="W54" s="951" t="s">
        <v>7</v>
      </c>
      <c r="X54" s="951" t="s">
        <v>49</v>
      </c>
      <c r="Y54" s="951" t="s">
        <v>9</v>
      </c>
      <c r="Z54" s="951" t="s">
        <v>10</v>
      </c>
      <c r="AA54" s="951" t="s">
        <v>11</v>
      </c>
      <c r="AB54" s="951" t="s">
        <v>12</v>
      </c>
      <c r="AC54" s="951" t="s">
        <v>50</v>
      </c>
      <c r="AD54" s="951" t="s">
        <v>2</v>
      </c>
      <c r="AE54" s="952" t="s">
        <v>51</v>
      </c>
      <c r="AH54" s="950" t="s">
        <v>4</v>
      </c>
      <c r="AI54" s="951" t="s">
        <v>5</v>
      </c>
      <c r="AJ54" s="951" t="s">
        <v>48</v>
      </c>
      <c r="AK54" s="951" t="s">
        <v>7</v>
      </c>
      <c r="AL54" s="951" t="s">
        <v>49</v>
      </c>
      <c r="AM54" s="951" t="s">
        <v>9</v>
      </c>
      <c r="AN54" s="951" t="s">
        <v>10</v>
      </c>
      <c r="AO54" s="951" t="s">
        <v>11</v>
      </c>
      <c r="AP54" s="951" t="s">
        <v>12</v>
      </c>
      <c r="AQ54" s="951" t="s">
        <v>50</v>
      </c>
      <c r="AR54" s="951" t="s">
        <v>2</v>
      </c>
      <c r="AS54" s="952" t="s">
        <v>51</v>
      </c>
      <c r="AT54" s="976"/>
    </row>
    <row r="55" spans="2:46">
      <c r="B55" s="966"/>
      <c r="C55" s="1010" t="s">
        <v>347</v>
      </c>
      <c r="D55" s="1010" t="s">
        <v>430</v>
      </c>
      <c r="E55" s="955"/>
      <c r="F55" s="1013"/>
      <c r="G55" s="1013"/>
      <c r="H55" s="1013"/>
      <c r="I55" s="1013"/>
      <c r="J55" s="1013"/>
      <c r="K55" s="1013"/>
      <c r="L55" s="1013"/>
      <c r="M55" s="1013"/>
      <c r="N55" s="1013"/>
      <c r="O55" s="1013"/>
      <c r="P55" s="1013"/>
      <c r="Q55" s="1013"/>
      <c r="R55" s="955"/>
      <c r="S55" s="657"/>
      <c r="T55" s="1013"/>
      <c r="U55" s="1013"/>
      <c r="V55" s="1013"/>
      <c r="W55" s="1013"/>
      <c r="X55" s="1013"/>
      <c r="Y55" s="1013"/>
      <c r="Z55" s="1013"/>
      <c r="AA55" s="1013"/>
      <c r="AB55" s="1013"/>
      <c r="AC55" s="1013"/>
      <c r="AD55" s="1013"/>
      <c r="AE55" s="1013"/>
      <c r="AF55" s="955"/>
      <c r="AH55" s="1013"/>
      <c r="AI55" s="1013"/>
      <c r="AJ55" s="1013"/>
      <c r="AK55" s="1013"/>
      <c r="AL55" s="1013"/>
      <c r="AM55" s="1013"/>
      <c r="AN55" s="1013"/>
      <c r="AO55" s="1013"/>
      <c r="AP55" s="1013"/>
      <c r="AQ55" s="1013"/>
      <c r="AR55" s="1013"/>
      <c r="AS55" s="1013"/>
      <c r="AT55" s="972"/>
    </row>
    <row r="56" spans="2:46">
      <c r="B56" s="966"/>
      <c r="C56" s="1010" t="s">
        <v>333</v>
      </c>
      <c r="D56" s="1010" t="s">
        <v>431</v>
      </c>
      <c r="E56" s="955"/>
      <c r="F56" s="1013">
        <v>500</v>
      </c>
      <c r="G56" s="1013"/>
      <c r="H56" s="1013"/>
      <c r="I56" s="1013"/>
      <c r="J56" s="1013"/>
      <c r="K56" s="1013"/>
      <c r="L56" s="1013"/>
      <c r="M56" s="1013"/>
      <c r="N56" s="1013"/>
      <c r="O56" s="1013"/>
      <c r="P56" s="1013"/>
      <c r="Q56" s="1013"/>
      <c r="R56" s="955"/>
      <c r="S56" s="657"/>
      <c r="T56" s="1013"/>
      <c r="U56" s="1013">
        <v>500</v>
      </c>
      <c r="V56" s="1013"/>
      <c r="W56" s="1013"/>
      <c r="X56" s="1013"/>
      <c r="Y56" s="1013"/>
      <c r="Z56" s="1013"/>
      <c r="AA56" s="1013"/>
      <c r="AB56" s="1013"/>
      <c r="AC56" s="1013"/>
      <c r="AD56" s="1013"/>
      <c r="AE56" s="1013"/>
      <c r="AF56" s="955"/>
      <c r="AH56" s="1013"/>
      <c r="AI56" s="1013"/>
      <c r="AJ56" s="1013">
        <v>500</v>
      </c>
      <c r="AK56" s="1013"/>
      <c r="AL56" s="1013"/>
      <c r="AM56" s="1013"/>
      <c r="AN56" s="1013"/>
      <c r="AO56" s="1013"/>
      <c r="AP56" s="1013"/>
      <c r="AQ56" s="1013"/>
      <c r="AR56" s="1013"/>
      <c r="AS56" s="1013"/>
      <c r="AT56" s="972"/>
    </row>
    <row r="57" spans="2:46">
      <c r="B57" s="966"/>
      <c r="C57" s="1010" t="s">
        <v>348</v>
      </c>
      <c r="D57" s="1010" t="s">
        <v>432</v>
      </c>
      <c r="E57" s="955"/>
      <c r="F57" s="1013"/>
      <c r="G57" s="1013"/>
      <c r="H57" s="1013"/>
      <c r="I57" s="1013"/>
      <c r="J57" s="1013"/>
      <c r="K57" s="1013"/>
      <c r="L57" s="1013"/>
      <c r="M57" s="1013"/>
      <c r="N57" s="1013"/>
      <c r="O57" s="1013"/>
      <c r="P57" s="1013"/>
      <c r="Q57" s="1013"/>
      <c r="R57" s="955"/>
      <c r="S57" s="657"/>
      <c r="T57" s="1013"/>
      <c r="U57" s="1013"/>
      <c r="V57" s="1013"/>
      <c r="W57" s="1013"/>
      <c r="X57" s="1013"/>
      <c r="Y57" s="1013"/>
      <c r="Z57" s="1013"/>
      <c r="AA57" s="1013"/>
      <c r="AB57" s="1013"/>
      <c r="AC57" s="1013"/>
      <c r="AD57" s="1013"/>
      <c r="AE57" s="1013"/>
      <c r="AF57" s="955"/>
      <c r="AH57" s="1013"/>
      <c r="AI57" s="1013"/>
      <c r="AJ57" s="1013"/>
      <c r="AK57" s="1013"/>
      <c r="AL57" s="1013"/>
      <c r="AM57" s="1013"/>
      <c r="AN57" s="1013"/>
      <c r="AO57" s="1013"/>
      <c r="AP57" s="1013"/>
      <c r="AQ57" s="1013"/>
      <c r="AR57" s="1013"/>
      <c r="AS57" s="1013"/>
      <c r="AT57" s="972"/>
    </row>
    <row r="58" spans="2:46">
      <c r="B58" s="966"/>
      <c r="C58" s="953" t="s">
        <v>75</v>
      </c>
      <c r="D58" s="953" t="s">
        <v>274</v>
      </c>
      <c r="E58" s="973"/>
      <c r="F58" s="954">
        <f t="shared" ref="F58:Q58" si="23">SUM(F55:F57)</f>
        <v>500</v>
      </c>
      <c r="G58" s="954">
        <f t="shared" si="23"/>
        <v>0</v>
      </c>
      <c r="H58" s="954">
        <f t="shared" si="23"/>
        <v>0</v>
      </c>
      <c r="I58" s="954">
        <f t="shared" si="23"/>
        <v>0</v>
      </c>
      <c r="J58" s="954">
        <f t="shared" si="23"/>
        <v>0</v>
      </c>
      <c r="K58" s="954">
        <f t="shared" si="23"/>
        <v>0</v>
      </c>
      <c r="L58" s="954">
        <f t="shared" si="23"/>
        <v>0</v>
      </c>
      <c r="M58" s="954">
        <f t="shared" si="23"/>
        <v>0</v>
      </c>
      <c r="N58" s="954">
        <f t="shared" si="23"/>
        <v>0</v>
      </c>
      <c r="O58" s="954">
        <f t="shared" si="23"/>
        <v>0</v>
      </c>
      <c r="P58" s="954">
        <f t="shared" si="23"/>
        <v>0</v>
      </c>
      <c r="Q58" s="954">
        <f t="shared" si="23"/>
        <v>0</v>
      </c>
      <c r="R58" s="954">
        <f>SUM(F58:Q58)</f>
        <v>500</v>
      </c>
      <c r="S58" s="659"/>
      <c r="T58" s="954">
        <f t="shared" ref="T58:AE58" si="24">SUM(T55:T57)</f>
        <v>0</v>
      </c>
      <c r="U58" s="954">
        <f t="shared" si="24"/>
        <v>500</v>
      </c>
      <c r="V58" s="954">
        <f t="shared" si="24"/>
        <v>0</v>
      </c>
      <c r="W58" s="954">
        <f t="shared" si="24"/>
        <v>0</v>
      </c>
      <c r="X58" s="954">
        <f t="shared" si="24"/>
        <v>0</v>
      </c>
      <c r="Y58" s="954">
        <f t="shared" si="24"/>
        <v>0</v>
      </c>
      <c r="Z58" s="954">
        <f t="shared" si="24"/>
        <v>0</v>
      </c>
      <c r="AA58" s="954">
        <f t="shared" si="24"/>
        <v>0</v>
      </c>
      <c r="AB58" s="954">
        <f t="shared" si="24"/>
        <v>0</v>
      </c>
      <c r="AC58" s="954">
        <f t="shared" si="24"/>
        <v>0</v>
      </c>
      <c r="AD58" s="954">
        <f t="shared" si="24"/>
        <v>0</v>
      </c>
      <c r="AE58" s="954">
        <f t="shared" si="24"/>
        <v>0</v>
      </c>
      <c r="AF58" s="954">
        <f>SUM(T58:AE58)</f>
        <v>500</v>
      </c>
      <c r="AH58" s="954">
        <f t="shared" ref="AH58:AS58" si="25">SUM(AH55:AH57)</f>
        <v>0</v>
      </c>
      <c r="AI58" s="954">
        <f t="shared" si="25"/>
        <v>0</v>
      </c>
      <c r="AJ58" s="954">
        <f t="shared" si="25"/>
        <v>500</v>
      </c>
      <c r="AK58" s="954">
        <f t="shared" si="25"/>
        <v>0</v>
      </c>
      <c r="AL58" s="954">
        <f t="shared" si="25"/>
        <v>0</v>
      </c>
      <c r="AM58" s="954">
        <f t="shared" si="25"/>
        <v>0</v>
      </c>
      <c r="AN58" s="954">
        <f t="shared" si="25"/>
        <v>0</v>
      </c>
      <c r="AO58" s="954">
        <f t="shared" si="25"/>
        <v>0</v>
      </c>
      <c r="AP58" s="954">
        <f t="shared" si="25"/>
        <v>0</v>
      </c>
      <c r="AQ58" s="954">
        <f t="shared" si="25"/>
        <v>0</v>
      </c>
      <c r="AR58" s="954">
        <f t="shared" si="25"/>
        <v>0</v>
      </c>
      <c r="AS58" s="954">
        <f t="shared" si="25"/>
        <v>0</v>
      </c>
      <c r="AT58" s="974">
        <f>SUM(AH58:AS58)</f>
        <v>500</v>
      </c>
    </row>
    <row r="59" spans="2:46">
      <c r="B59" s="966"/>
      <c r="S59" s="657"/>
      <c r="AT59" s="659"/>
    </row>
    <row r="60" spans="2:46" s="202" customFormat="1" ht="16">
      <c r="B60" s="975"/>
      <c r="C60" s="945" t="s">
        <v>349</v>
      </c>
      <c r="D60" s="945" t="s">
        <v>433</v>
      </c>
      <c r="F60" s="950" t="s">
        <v>262</v>
      </c>
      <c r="G60" s="951" t="s">
        <v>263</v>
      </c>
      <c r="H60" s="951" t="s">
        <v>48</v>
      </c>
      <c r="I60" s="951" t="s">
        <v>7</v>
      </c>
      <c r="J60" s="951" t="s">
        <v>49</v>
      </c>
      <c r="K60" s="951" t="s">
        <v>9</v>
      </c>
      <c r="L60" s="951" t="s">
        <v>10</v>
      </c>
      <c r="M60" s="951" t="s">
        <v>11</v>
      </c>
      <c r="N60" s="951" t="s">
        <v>12</v>
      </c>
      <c r="O60" s="951" t="s">
        <v>50</v>
      </c>
      <c r="P60" s="951" t="s">
        <v>2</v>
      </c>
      <c r="Q60" s="952" t="s">
        <v>51</v>
      </c>
      <c r="S60" s="658"/>
      <c r="T60" s="950" t="s">
        <v>4</v>
      </c>
      <c r="U60" s="951" t="s">
        <v>5</v>
      </c>
      <c r="V60" s="951" t="s">
        <v>48</v>
      </c>
      <c r="W60" s="951" t="s">
        <v>7</v>
      </c>
      <c r="X60" s="951" t="s">
        <v>49</v>
      </c>
      <c r="Y60" s="951" t="s">
        <v>9</v>
      </c>
      <c r="Z60" s="951" t="s">
        <v>10</v>
      </c>
      <c r="AA60" s="951" t="s">
        <v>11</v>
      </c>
      <c r="AB60" s="951" t="s">
        <v>12</v>
      </c>
      <c r="AC60" s="951" t="s">
        <v>50</v>
      </c>
      <c r="AD60" s="951" t="s">
        <v>2</v>
      </c>
      <c r="AE60" s="952" t="s">
        <v>51</v>
      </c>
      <c r="AH60" s="950" t="s">
        <v>4</v>
      </c>
      <c r="AI60" s="951" t="s">
        <v>5</v>
      </c>
      <c r="AJ60" s="951" t="s">
        <v>48</v>
      </c>
      <c r="AK60" s="951" t="s">
        <v>7</v>
      </c>
      <c r="AL60" s="951" t="s">
        <v>49</v>
      </c>
      <c r="AM60" s="951" t="s">
        <v>9</v>
      </c>
      <c r="AN60" s="951" t="s">
        <v>10</v>
      </c>
      <c r="AO60" s="951" t="s">
        <v>11</v>
      </c>
      <c r="AP60" s="951" t="s">
        <v>12</v>
      </c>
      <c r="AQ60" s="951" t="s">
        <v>50</v>
      </c>
      <c r="AR60" s="951" t="s">
        <v>2</v>
      </c>
      <c r="AS60" s="952" t="s">
        <v>51</v>
      </c>
      <c r="AT60" s="976"/>
    </row>
    <row r="61" spans="2:46">
      <c r="B61" s="966"/>
      <c r="C61" s="1010" t="s">
        <v>350</v>
      </c>
      <c r="D61" s="1010" t="s">
        <v>434</v>
      </c>
      <c r="E61" s="955"/>
      <c r="F61" s="1013">
        <v>300</v>
      </c>
      <c r="G61" s="1013"/>
      <c r="H61" s="1013"/>
      <c r="I61" s="1013"/>
      <c r="J61" s="1013"/>
      <c r="K61" s="1013"/>
      <c r="L61" s="1013"/>
      <c r="M61" s="1013"/>
      <c r="N61" s="1013"/>
      <c r="O61" s="1013"/>
      <c r="P61" s="1013"/>
      <c r="Q61" s="1013"/>
      <c r="R61" s="955"/>
      <c r="S61" s="657"/>
      <c r="T61" s="1013"/>
      <c r="U61" s="1013">
        <v>300</v>
      </c>
      <c r="V61" s="1013"/>
      <c r="W61" s="1013"/>
      <c r="X61" s="1013"/>
      <c r="Y61" s="1013"/>
      <c r="Z61" s="1013"/>
      <c r="AA61" s="1013"/>
      <c r="AB61" s="1013"/>
      <c r="AC61" s="1013"/>
      <c r="AD61" s="1013"/>
      <c r="AE61" s="1013"/>
      <c r="AF61" s="955"/>
      <c r="AH61" s="1013"/>
      <c r="AI61" s="1013"/>
      <c r="AJ61" s="1013">
        <v>300</v>
      </c>
      <c r="AK61" s="1013"/>
      <c r="AL61" s="1013"/>
      <c r="AM61" s="1013"/>
      <c r="AN61" s="1013"/>
      <c r="AO61" s="1013"/>
      <c r="AP61" s="1013"/>
      <c r="AQ61" s="1013"/>
      <c r="AR61" s="1013"/>
      <c r="AS61" s="1013"/>
      <c r="AT61" s="972"/>
    </row>
    <row r="62" spans="2:46">
      <c r="B62" s="966"/>
      <c r="C62" s="1010" t="s">
        <v>351</v>
      </c>
      <c r="D62" s="1010" t="s">
        <v>435</v>
      </c>
      <c r="E62" s="955"/>
      <c r="F62" s="1013">
        <v>300</v>
      </c>
      <c r="G62" s="1013"/>
      <c r="H62" s="1013"/>
      <c r="I62" s="1013"/>
      <c r="J62" s="1013"/>
      <c r="K62" s="1013"/>
      <c r="L62" s="1013"/>
      <c r="M62" s="1013"/>
      <c r="N62" s="1013"/>
      <c r="O62" s="1013"/>
      <c r="P62" s="1013"/>
      <c r="Q62" s="1013"/>
      <c r="R62" s="955"/>
      <c r="S62" s="657"/>
      <c r="T62" s="1013"/>
      <c r="U62" s="1013">
        <v>300</v>
      </c>
      <c r="V62" s="1013"/>
      <c r="W62" s="1013"/>
      <c r="X62" s="1013"/>
      <c r="Y62" s="1013"/>
      <c r="Z62" s="1013"/>
      <c r="AA62" s="1013"/>
      <c r="AB62" s="1013"/>
      <c r="AC62" s="1013"/>
      <c r="AD62" s="1013"/>
      <c r="AE62" s="1013"/>
      <c r="AF62" s="955"/>
      <c r="AH62" s="1013"/>
      <c r="AI62" s="1013"/>
      <c r="AJ62" s="1013">
        <v>300</v>
      </c>
      <c r="AK62" s="1013"/>
      <c r="AL62" s="1013"/>
      <c r="AM62" s="1013"/>
      <c r="AN62" s="1013"/>
      <c r="AO62" s="1013"/>
      <c r="AP62" s="1013"/>
      <c r="AQ62" s="1013"/>
      <c r="AR62" s="1013"/>
      <c r="AS62" s="1013"/>
      <c r="AT62" s="972"/>
    </row>
    <row r="63" spans="2:46">
      <c r="B63" s="966"/>
      <c r="C63" s="1010"/>
      <c r="D63" s="1010"/>
      <c r="E63" s="955"/>
      <c r="F63" s="1013"/>
      <c r="G63" s="1013"/>
      <c r="H63" s="1013"/>
      <c r="I63" s="1013"/>
      <c r="J63" s="1013"/>
      <c r="K63" s="1013"/>
      <c r="L63" s="1013"/>
      <c r="M63" s="1013"/>
      <c r="N63" s="1013"/>
      <c r="O63" s="1013"/>
      <c r="P63" s="1013"/>
      <c r="Q63" s="1013"/>
      <c r="R63" s="955"/>
      <c r="S63" s="657"/>
      <c r="T63" s="1013"/>
      <c r="U63" s="1013"/>
      <c r="V63" s="1013"/>
      <c r="W63" s="1013"/>
      <c r="X63" s="1013"/>
      <c r="Y63" s="1013"/>
      <c r="Z63" s="1013"/>
      <c r="AA63" s="1013"/>
      <c r="AB63" s="1013"/>
      <c r="AC63" s="1013"/>
      <c r="AD63" s="1013"/>
      <c r="AE63" s="1013"/>
      <c r="AF63" s="955"/>
      <c r="AH63" s="1013"/>
      <c r="AI63" s="1013"/>
      <c r="AJ63" s="1013"/>
      <c r="AK63" s="1013"/>
      <c r="AL63" s="1013"/>
      <c r="AM63" s="1013"/>
      <c r="AN63" s="1013"/>
      <c r="AO63" s="1013"/>
      <c r="AP63" s="1013"/>
      <c r="AQ63" s="1013"/>
      <c r="AR63" s="1013"/>
      <c r="AS63" s="1013"/>
      <c r="AT63" s="972"/>
    </row>
    <row r="64" spans="2:46">
      <c r="B64" s="966"/>
      <c r="C64" s="1010"/>
      <c r="D64" s="1010"/>
      <c r="E64" s="955"/>
      <c r="F64" s="1013"/>
      <c r="G64" s="1013"/>
      <c r="H64" s="1013"/>
      <c r="I64" s="1013"/>
      <c r="J64" s="1013"/>
      <c r="K64" s="1013"/>
      <c r="L64" s="1013"/>
      <c r="M64" s="1013"/>
      <c r="N64" s="1013"/>
      <c r="O64" s="1013"/>
      <c r="P64" s="1013"/>
      <c r="Q64" s="1013"/>
      <c r="R64" s="955"/>
      <c r="S64" s="657"/>
      <c r="T64" s="1013"/>
      <c r="U64" s="1013"/>
      <c r="V64" s="1013"/>
      <c r="W64" s="1013"/>
      <c r="X64" s="1013"/>
      <c r="Y64" s="1013"/>
      <c r="Z64" s="1013"/>
      <c r="AA64" s="1013"/>
      <c r="AB64" s="1013"/>
      <c r="AC64" s="1013"/>
      <c r="AD64" s="1013"/>
      <c r="AE64" s="1013"/>
      <c r="AF64" s="955"/>
      <c r="AH64" s="1013"/>
      <c r="AI64" s="1013"/>
      <c r="AJ64" s="1013"/>
      <c r="AK64" s="1013"/>
      <c r="AL64" s="1013"/>
      <c r="AM64" s="1013"/>
      <c r="AN64" s="1013"/>
      <c r="AO64" s="1013"/>
      <c r="AP64" s="1013"/>
      <c r="AQ64" s="1013"/>
      <c r="AR64" s="1013"/>
      <c r="AS64" s="1013"/>
      <c r="AT64" s="972"/>
    </row>
    <row r="65" spans="2:46">
      <c r="B65" s="966"/>
      <c r="C65" s="953" t="s">
        <v>75</v>
      </c>
      <c r="D65" s="1071"/>
      <c r="E65" s="973"/>
      <c r="F65" s="954">
        <f>SUM(F61:F64)</f>
        <v>600</v>
      </c>
      <c r="G65" s="954">
        <f t="shared" ref="G65:Q65" si="26">SUM(G61:G64)</f>
        <v>0</v>
      </c>
      <c r="H65" s="954">
        <f t="shared" si="26"/>
        <v>0</v>
      </c>
      <c r="I65" s="954">
        <f t="shared" si="26"/>
        <v>0</v>
      </c>
      <c r="J65" s="954">
        <f t="shared" si="26"/>
        <v>0</v>
      </c>
      <c r="K65" s="954">
        <f t="shared" si="26"/>
        <v>0</v>
      </c>
      <c r="L65" s="954">
        <f t="shared" si="26"/>
        <v>0</v>
      </c>
      <c r="M65" s="954">
        <f t="shared" si="26"/>
        <v>0</v>
      </c>
      <c r="N65" s="954">
        <f t="shared" si="26"/>
        <v>0</v>
      </c>
      <c r="O65" s="954">
        <f t="shared" si="26"/>
        <v>0</v>
      </c>
      <c r="P65" s="954">
        <f t="shared" si="26"/>
        <v>0</v>
      </c>
      <c r="Q65" s="954">
        <f t="shared" si="26"/>
        <v>0</v>
      </c>
      <c r="R65" s="954">
        <f>SUM(F65:Q65)</f>
        <v>600</v>
      </c>
      <c r="S65" s="659"/>
      <c r="T65" s="954">
        <f>SUM(T61:T64)</f>
        <v>0</v>
      </c>
      <c r="U65" s="954">
        <f t="shared" ref="U65:AE65" si="27">SUM(U61:U64)</f>
        <v>600</v>
      </c>
      <c r="V65" s="954">
        <f t="shared" si="27"/>
        <v>0</v>
      </c>
      <c r="W65" s="954">
        <f t="shared" si="27"/>
        <v>0</v>
      </c>
      <c r="X65" s="954">
        <f t="shared" si="27"/>
        <v>0</v>
      </c>
      <c r="Y65" s="954">
        <f t="shared" si="27"/>
        <v>0</v>
      </c>
      <c r="Z65" s="954">
        <f t="shared" si="27"/>
        <v>0</v>
      </c>
      <c r="AA65" s="954">
        <f t="shared" si="27"/>
        <v>0</v>
      </c>
      <c r="AB65" s="954">
        <f t="shared" si="27"/>
        <v>0</v>
      </c>
      <c r="AC65" s="954">
        <f t="shared" si="27"/>
        <v>0</v>
      </c>
      <c r="AD65" s="954">
        <f t="shared" si="27"/>
        <v>0</v>
      </c>
      <c r="AE65" s="954">
        <f t="shared" si="27"/>
        <v>0</v>
      </c>
      <c r="AF65" s="954">
        <f>SUM(T65:AE65)</f>
        <v>600</v>
      </c>
      <c r="AH65" s="954">
        <f>SUM(AH61:AH64)</f>
        <v>0</v>
      </c>
      <c r="AI65" s="954">
        <f t="shared" ref="AI65:AS65" si="28">SUM(AI61:AI64)</f>
        <v>0</v>
      </c>
      <c r="AJ65" s="954">
        <f t="shared" si="28"/>
        <v>600</v>
      </c>
      <c r="AK65" s="954">
        <f t="shared" si="28"/>
        <v>0</v>
      </c>
      <c r="AL65" s="954">
        <f t="shared" si="28"/>
        <v>0</v>
      </c>
      <c r="AM65" s="954">
        <f t="shared" si="28"/>
        <v>0</v>
      </c>
      <c r="AN65" s="954">
        <f t="shared" si="28"/>
        <v>0</v>
      </c>
      <c r="AO65" s="954">
        <f t="shared" si="28"/>
        <v>0</v>
      </c>
      <c r="AP65" s="954">
        <f t="shared" si="28"/>
        <v>0</v>
      </c>
      <c r="AQ65" s="954">
        <f t="shared" si="28"/>
        <v>0</v>
      </c>
      <c r="AR65" s="954">
        <f t="shared" si="28"/>
        <v>0</v>
      </c>
      <c r="AS65" s="954">
        <f t="shared" si="28"/>
        <v>0</v>
      </c>
      <c r="AT65" s="974">
        <f>SUM(AH65:AS65)</f>
        <v>600</v>
      </c>
    </row>
    <row r="66" spans="2:46">
      <c r="B66" s="979"/>
      <c r="C66" s="980"/>
      <c r="D66" s="980"/>
      <c r="E66" s="980"/>
      <c r="F66" s="980"/>
      <c r="G66" s="980"/>
      <c r="H66" s="980"/>
      <c r="I66" s="980"/>
      <c r="J66" s="980"/>
      <c r="K66" s="980"/>
      <c r="L66" s="980"/>
      <c r="M66" s="980"/>
      <c r="N66" s="980"/>
      <c r="O66" s="980"/>
      <c r="P66" s="980"/>
      <c r="Q66" s="980"/>
      <c r="R66" s="980"/>
      <c r="S66" s="981"/>
      <c r="T66" s="980"/>
      <c r="U66" s="980"/>
      <c r="V66" s="980"/>
      <c r="W66" s="980"/>
      <c r="X66" s="980"/>
      <c r="Y66" s="980"/>
      <c r="Z66" s="980"/>
      <c r="AA66" s="980"/>
      <c r="AB66" s="980"/>
      <c r="AC66" s="980"/>
      <c r="AD66" s="980"/>
      <c r="AE66" s="980"/>
      <c r="AF66" s="980"/>
      <c r="AG66" s="980"/>
      <c r="AH66" s="980"/>
      <c r="AI66" s="980"/>
      <c r="AJ66" s="980"/>
      <c r="AK66" s="980"/>
      <c r="AL66" s="980"/>
      <c r="AM66" s="980"/>
      <c r="AN66" s="980"/>
      <c r="AO66" s="980"/>
      <c r="AP66" s="980"/>
      <c r="AQ66" s="980"/>
      <c r="AR66" s="980"/>
      <c r="AS66" s="980"/>
      <c r="AT66" s="224"/>
    </row>
    <row r="67" spans="2:46">
      <c r="Q67" s="961"/>
      <c r="R67" s="962"/>
      <c r="AF67" s="962"/>
      <c r="AS67" s="961"/>
      <c r="AT67" s="982"/>
    </row>
    <row r="68" spans="2:46">
      <c r="B68" s="960"/>
      <c r="C68" s="953" t="str">
        <f>"Total in "&amp;TEXT(Parameter!$D$23,"#.##0 €")</f>
        <v>Total in 1.000 €</v>
      </c>
      <c r="D68" s="1071"/>
      <c r="E68" s="653"/>
      <c r="F68" s="959">
        <f t="shared" ref="F68:Q68" si="29">(F65+F52+F46+F39+F32+F23+F15+F10+F58)/1000</f>
        <v>4.9000000000000004</v>
      </c>
      <c r="G68" s="959">
        <f t="shared" si="29"/>
        <v>0</v>
      </c>
      <c r="H68" s="959">
        <f t="shared" si="29"/>
        <v>0</v>
      </c>
      <c r="I68" s="959">
        <f t="shared" si="29"/>
        <v>0</v>
      </c>
      <c r="J68" s="959">
        <f t="shared" si="29"/>
        <v>0</v>
      </c>
      <c r="K68" s="959">
        <f t="shared" si="29"/>
        <v>0</v>
      </c>
      <c r="L68" s="959">
        <f t="shared" si="29"/>
        <v>0</v>
      </c>
      <c r="M68" s="959">
        <f t="shared" si="29"/>
        <v>0</v>
      </c>
      <c r="N68" s="959">
        <f t="shared" si="29"/>
        <v>0</v>
      </c>
      <c r="O68" s="959">
        <f t="shared" si="29"/>
        <v>0</v>
      </c>
      <c r="P68" s="959">
        <f t="shared" si="29"/>
        <v>0</v>
      </c>
      <c r="Q68" s="959">
        <f t="shared" si="29"/>
        <v>0</v>
      </c>
      <c r="R68" s="959">
        <f>SUM(Other_Costs_Net_1000_Y1)</f>
        <v>4.9000000000000004</v>
      </c>
      <c r="S68" s="659"/>
      <c r="T68" s="959">
        <f t="shared" ref="T68:AE68" si="30">(T65+T52+T46+T39+T32+T23+T15+T10+T58)/1000</f>
        <v>0</v>
      </c>
      <c r="U68" s="959">
        <f t="shared" si="30"/>
        <v>4.9000000000000004</v>
      </c>
      <c r="V68" s="959">
        <f t="shared" si="30"/>
        <v>0</v>
      </c>
      <c r="W68" s="959">
        <f t="shared" si="30"/>
        <v>0</v>
      </c>
      <c r="X68" s="959">
        <f t="shared" si="30"/>
        <v>0</v>
      </c>
      <c r="Y68" s="959">
        <f t="shared" si="30"/>
        <v>0</v>
      </c>
      <c r="Z68" s="959">
        <f t="shared" si="30"/>
        <v>0</v>
      </c>
      <c r="AA68" s="959">
        <f t="shared" si="30"/>
        <v>0</v>
      </c>
      <c r="AB68" s="959">
        <f t="shared" si="30"/>
        <v>0</v>
      </c>
      <c r="AC68" s="959">
        <f t="shared" si="30"/>
        <v>0</v>
      </c>
      <c r="AD68" s="959">
        <f t="shared" si="30"/>
        <v>0</v>
      </c>
      <c r="AE68" s="959">
        <f t="shared" si="30"/>
        <v>0</v>
      </c>
      <c r="AF68" s="959">
        <f>SUM(Other_Costs_Net_1000_Y2)</f>
        <v>4.9000000000000004</v>
      </c>
      <c r="AH68" s="959">
        <f t="shared" ref="AH68:AS68" si="31">(AH65+AH52+AH46+AH39+AH32+AH23+AH15+AH10+AH58)/1000</f>
        <v>0</v>
      </c>
      <c r="AI68" s="959">
        <f t="shared" si="31"/>
        <v>0</v>
      </c>
      <c r="AJ68" s="959">
        <f t="shared" si="31"/>
        <v>4.9000000000000004</v>
      </c>
      <c r="AK68" s="959">
        <f t="shared" si="31"/>
        <v>0</v>
      </c>
      <c r="AL68" s="959">
        <f t="shared" si="31"/>
        <v>0</v>
      </c>
      <c r="AM68" s="959">
        <f t="shared" si="31"/>
        <v>0</v>
      </c>
      <c r="AN68" s="959">
        <f t="shared" si="31"/>
        <v>0</v>
      </c>
      <c r="AO68" s="959">
        <f t="shared" si="31"/>
        <v>0</v>
      </c>
      <c r="AP68" s="959">
        <f t="shared" si="31"/>
        <v>0</v>
      </c>
      <c r="AQ68" s="959">
        <f t="shared" si="31"/>
        <v>0</v>
      </c>
      <c r="AR68" s="959">
        <f t="shared" si="31"/>
        <v>0</v>
      </c>
      <c r="AS68" s="959">
        <f t="shared" si="31"/>
        <v>0</v>
      </c>
      <c r="AT68" s="959">
        <f>SUM(Other_Costs_Net_1000_Y3)</f>
        <v>4.9000000000000004</v>
      </c>
    </row>
    <row r="69" spans="2:46">
      <c r="Q69" s="199"/>
      <c r="AE69" s="199"/>
      <c r="AS69" s="199"/>
    </row>
    <row r="71" spans="2:46">
      <c r="D71" s="1107" t="s">
        <v>484</v>
      </c>
    </row>
    <row r="72" spans="2:46">
      <c r="D72" s="202" t="s">
        <v>485</v>
      </c>
    </row>
  </sheetData>
  <mergeCells count="4">
    <mergeCell ref="B2:S2"/>
    <mergeCell ref="T5:AF5"/>
    <mergeCell ref="AH5:AT5"/>
    <mergeCell ref="F5:R5"/>
  </mergeCells>
  <phoneticPr fontId="5" type="noConversion"/>
  <printOptions horizontalCentered="1"/>
  <pageMargins left="0.2" right="0.2" top="0.2" bottom="0.35000000000000003" header="0.2" footer="0.2"/>
  <pageSetup paperSize="10" scale="70" fitToWidth="2" orientation="landscape" horizontalDpi="4294967292" verticalDpi="4294967292"/>
  <headerFooter>
    <oddFooter>&amp;L&amp;"Arial,Standard"Business Case&amp;C&amp;"Arial,Standard"&amp;F&amp;R&amp;"Arial,Standard"&amp;D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V80"/>
  <sheetViews>
    <sheetView showGridLines="0" zoomScale="110" zoomScaleNormal="110" workbookViewId="0">
      <pane xSplit="6" ySplit="8" topLeftCell="G30" activePane="bottomRight" state="frozen"/>
      <selection pane="topRight" activeCell="G1" sqref="G1"/>
      <selection pane="bottomLeft" activeCell="A9" sqref="A9"/>
      <selection pane="bottomRight" activeCell="G76" sqref="G76"/>
    </sheetView>
  </sheetViews>
  <sheetFormatPr baseColWidth="10" defaultColWidth="11.796875" defaultRowHeight="13"/>
  <cols>
    <col min="1" max="1" width="2.796875" style="196" customWidth="1"/>
    <col min="2" max="2" width="1.3984375" style="196" customWidth="1"/>
    <col min="3" max="3" width="15" style="304" customWidth="1"/>
    <col min="4" max="4" width="11.19921875" style="196" customWidth="1"/>
    <col min="5" max="5" width="16.19921875" style="196" customWidth="1"/>
    <col min="6" max="6" width="1.19921875" style="208" customWidth="1"/>
    <col min="7" max="18" width="7.796875" style="196" customWidth="1"/>
    <col min="19" max="19" width="8.796875" style="196" customWidth="1"/>
    <col min="20" max="20" width="1.19921875" style="196" customWidth="1"/>
    <col min="21" max="32" width="7.796875" style="196" customWidth="1"/>
    <col min="33" max="33" width="9.19921875" style="196" customWidth="1"/>
    <col min="34" max="34" width="0.796875" style="196" customWidth="1"/>
    <col min="35" max="46" width="7.796875" style="196" customWidth="1"/>
    <col min="47" max="47" width="9.796875" style="196" customWidth="1"/>
    <col min="48" max="48" width="2" style="196" customWidth="1"/>
    <col min="49" max="16384" width="11.796875" style="196"/>
  </cols>
  <sheetData>
    <row r="2" spans="2:48" ht="17" customHeight="1">
      <c r="B2" s="670"/>
      <c r="C2" s="984" t="str">
        <f>Parameter!$D$4&amp;" Development Costs "&amp;Parameter!D6&amp;" ff"</f>
        <v>company name Development Costs 2023 ff</v>
      </c>
      <c r="D2" s="937"/>
      <c r="E2" s="937"/>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6"/>
      <c r="AI2" s="985"/>
      <c r="AJ2" s="985"/>
      <c r="AK2" s="985"/>
      <c r="AL2" s="985"/>
      <c r="AM2" s="985"/>
      <c r="AN2" s="985"/>
      <c r="AO2" s="985"/>
      <c r="AP2" s="985"/>
      <c r="AQ2" s="985"/>
      <c r="AR2" s="985"/>
      <c r="AS2" s="985"/>
      <c r="AT2" s="985"/>
      <c r="AU2" s="985"/>
      <c r="AV2" s="987"/>
    </row>
    <row r="3" spans="2:48" ht="17" customHeight="1">
      <c r="B3" s="207"/>
      <c r="C3" s="277" t="str">
        <f>+Parameter!D4&amp;", "&amp;Parameter!D15</f>
        <v>company name, Location</v>
      </c>
      <c r="D3" s="278"/>
      <c r="E3" s="278"/>
      <c r="F3" s="271"/>
      <c r="G3" s="278"/>
      <c r="H3" s="278"/>
      <c r="I3" s="278"/>
      <c r="J3" s="278"/>
      <c r="K3" s="278"/>
      <c r="L3" s="278"/>
      <c r="M3" s="279"/>
      <c r="N3" s="278"/>
      <c r="O3" s="278"/>
      <c r="P3" s="278"/>
      <c r="Q3" s="278"/>
      <c r="R3" s="278"/>
      <c r="S3" s="278"/>
      <c r="T3" s="278"/>
      <c r="U3" s="278"/>
      <c r="V3" s="278"/>
      <c r="W3" s="278"/>
      <c r="X3" s="278"/>
      <c r="Y3" s="278"/>
      <c r="Z3" s="278"/>
      <c r="AA3" s="279"/>
      <c r="AB3" s="278"/>
      <c r="AC3" s="278"/>
      <c r="AD3" s="278"/>
      <c r="AE3" s="278"/>
      <c r="AF3" s="278"/>
      <c r="AG3" s="278"/>
      <c r="AI3" s="278"/>
      <c r="AJ3" s="278"/>
      <c r="AK3" s="278"/>
      <c r="AL3" s="278"/>
      <c r="AM3" s="278"/>
      <c r="AN3" s="278"/>
      <c r="AO3" s="279"/>
      <c r="AP3" s="278"/>
      <c r="AQ3" s="278"/>
      <c r="AR3" s="278"/>
      <c r="AS3" s="278"/>
      <c r="AT3" s="278"/>
      <c r="AU3" s="278"/>
      <c r="AV3" s="209"/>
    </row>
    <row r="4" spans="2:48" ht="12.75" customHeight="1">
      <c r="B4" s="207"/>
      <c r="C4" s="277"/>
      <c r="D4" s="278"/>
      <c r="E4" s="278"/>
      <c r="F4" s="271"/>
      <c r="G4" s="278"/>
      <c r="H4" s="278"/>
      <c r="L4" s="278"/>
      <c r="M4" s="1287" t="str">
        <f>"all amounts in "&amp;TEXT(Parameter!$D$23,"#.##0 €")</f>
        <v>all amounts in 1.000 €</v>
      </c>
      <c r="N4" s="1288"/>
      <c r="O4" s="1289"/>
      <c r="P4" s="278"/>
      <c r="Q4" s="278"/>
      <c r="R4" s="278"/>
      <c r="S4" s="278"/>
      <c r="T4" s="278"/>
      <c r="U4" s="278"/>
      <c r="V4" s="278"/>
      <c r="Z4" s="278"/>
      <c r="AA4" s="1287" t="str">
        <f>"all amaounts in "&amp;TEXT(Parameter!$D$23,"#.##0 €")</f>
        <v>all amaounts in 1.000 €</v>
      </c>
      <c r="AB4" s="1288"/>
      <c r="AC4" s="1289"/>
      <c r="AD4" s="278"/>
      <c r="AE4" s="278"/>
      <c r="AF4" s="278"/>
      <c r="AG4" s="278"/>
      <c r="AI4" s="278"/>
      <c r="AJ4" s="278"/>
      <c r="AN4" s="278"/>
      <c r="AO4" s="1287" t="str">
        <f>"all amounts in "&amp;TEXT(Parameter!$D$23,"#.##0 €")</f>
        <v>all amounts in 1.000 €</v>
      </c>
      <c r="AP4" s="1288"/>
      <c r="AQ4" s="1289"/>
      <c r="AR4" s="278"/>
      <c r="AS4" s="278"/>
      <c r="AT4" s="278"/>
      <c r="AU4" s="278"/>
      <c r="AV4" s="209"/>
    </row>
    <row r="5" spans="2:48" s="286" customFormat="1">
      <c r="B5" s="280"/>
      <c r="C5" s="281"/>
      <c r="D5" s="282"/>
      <c r="E5" s="283"/>
      <c r="F5" s="284"/>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I5" s="285"/>
      <c r="AJ5" s="285"/>
      <c r="AK5" s="285"/>
      <c r="AL5" s="285"/>
      <c r="AM5" s="285"/>
      <c r="AN5" s="285"/>
      <c r="AO5" s="285"/>
      <c r="AP5" s="285"/>
      <c r="AQ5" s="285"/>
      <c r="AR5" s="285"/>
      <c r="AS5" s="285"/>
      <c r="AT5" s="285"/>
      <c r="AU5" s="285"/>
      <c r="AV5" s="287"/>
    </row>
    <row r="6" spans="2:48" s="286" customFormat="1">
      <c r="B6" s="280"/>
      <c r="C6" s="288"/>
      <c r="D6" s="285"/>
      <c r="E6" s="283"/>
      <c r="F6" s="284"/>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I6" s="285"/>
      <c r="AJ6" s="285"/>
      <c r="AK6" s="285"/>
      <c r="AL6" s="285"/>
      <c r="AM6" s="285"/>
      <c r="AN6" s="285"/>
      <c r="AO6" s="285"/>
      <c r="AP6" s="285"/>
      <c r="AQ6" s="285"/>
      <c r="AR6" s="285"/>
      <c r="AS6" s="285"/>
      <c r="AT6" s="285"/>
      <c r="AU6" s="285"/>
      <c r="AV6" s="287"/>
    </row>
    <row r="7" spans="2:48" ht="14" thickBot="1">
      <c r="B7" s="207"/>
      <c r="C7" s="1284" t="s">
        <v>395</v>
      </c>
      <c r="D7" s="1285"/>
      <c r="E7" s="1286"/>
      <c r="F7" s="271"/>
      <c r="G7" s="1282" t="str">
        <f>Parameter!$D$8&amp;" "&amp;Parameter!D6</f>
        <v>Year 2023</v>
      </c>
      <c r="H7" s="1283"/>
      <c r="I7" s="1283"/>
      <c r="J7" s="1283"/>
      <c r="K7" s="1283"/>
      <c r="L7" s="1283"/>
      <c r="M7" s="1283"/>
      <c r="N7" s="1283"/>
      <c r="O7" s="1283"/>
      <c r="P7" s="1283"/>
      <c r="Q7" s="1283"/>
      <c r="R7" s="1283"/>
      <c r="S7" s="1283"/>
      <c r="T7" s="203"/>
      <c r="U7" s="1282" t="str">
        <f>Parameter!$D$8&amp;" "&amp;Parameter!E6</f>
        <v>Year 2024</v>
      </c>
      <c r="V7" s="1283"/>
      <c r="W7" s="1283"/>
      <c r="X7" s="1283"/>
      <c r="Y7" s="1283"/>
      <c r="Z7" s="1283"/>
      <c r="AA7" s="1283"/>
      <c r="AB7" s="1283"/>
      <c r="AC7" s="1283"/>
      <c r="AD7" s="1283"/>
      <c r="AE7" s="1283"/>
      <c r="AF7" s="1283"/>
      <c r="AG7" s="1283"/>
      <c r="AI7" s="1282" t="str">
        <f>Parameter!$D$8&amp;" "&amp;Parameter!F6</f>
        <v>Year 2025</v>
      </c>
      <c r="AJ7" s="1283"/>
      <c r="AK7" s="1283"/>
      <c r="AL7" s="1283"/>
      <c r="AM7" s="1283"/>
      <c r="AN7" s="1283"/>
      <c r="AO7" s="1283"/>
      <c r="AP7" s="1283"/>
      <c r="AQ7" s="1283"/>
      <c r="AR7" s="1283"/>
      <c r="AS7" s="1283"/>
      <c r="AT7" s="1283"/>
      <c r="AU7" s="1283"/>
      <c r="AV7" s="209"/>
    </row>
    <row r="8" spans="2:48" s="290" customFormat="1" ht="15" thickBot="1">
      <c r="B8" s="289"/>
      <c r="C8" s="993" t="s">
        <v>393</v>
      </c>
      <c r="D8" s="1276" t="s">
        <v>394</v>
      </c>
      <c r="E8" s="1277"/>
      <c r="F8" s="226"/>
      <c r="G8" s="994">
        <v>41640</v>
      </c>
      <c r="H8" s="994">
        <v>41671</v>
      </c>
      <c r="I8" s="994" t="s">
        <v>48</v>
      </c>
      <c r="J8" s="994">
        <v>41730</v>
      </c>
      <c r="K8" s="994" t="s">
        <v>49</v>
      </c>
      <c r="L8" s="994">
        <v>41791</v>
      </c>
      <c r="M8" s="994">
        <v>41821</v>
      </c>
      <c r="N8" s="994">
        <v>41852</v>
      </c>
      <c r="O8" s="994">
        <v>41883</v>
      </c>
      <c r="P8" s="994" t="s">
        <v>50</v>
      </c>
      <c r="Q8" s="994">
        <v>41944</v>
      </c>
      <c r="R8" s="994" t="s">
        <v>51</v>
      </c>
      <c r="S8" s="994" t="s">
        <v>21</v>
      </c>
      <c r="T8" s="198"/>
      <c r="U8" s="994">
        <v>41640</v>
      </c>
      <c r="V8" s="994">
        <v>41671</v>
      </c>
      <c r="W8" s="994" t="s">
        <v>48</v>
      </c>
      <c r="X8" s="994">
        <v>41730</v>
      </c>
      <c r="Y8" s="994" t="s">
        <v>49</v>
      </c>
      <c r="Z8" s="994">
        <v>41791</v>
      </c>
      <c r="AA8" s="994">
        <v>41821</v>
      </c>
      <c r="AB8" s="994">
        <v>41852</v>
      </c>
      <c r="AC8" s="994">
        <v>41883</v>
      </c>
      <c r="AD8" s="994" t="s">
        <v>50</v>
      </c>
      <c r="AE8" s="994">
        <v>41944</v>
      </c>
      <c r="AF8" s="994" t="s">
        <v>51</v>
      </c>
      <c r="AG8" s="994" t="s">
        <v>21</v>
      </c>
      <c r="AI8" s="994">
        <v>41640</v>
      </c>
      <c r="AJ8" s="994">
        <v>41671</v>
      </c>
      <c r="AK8" s="994" t="s">
        <v>48</v>
      </c>
      <c r="AL8" s="994">
        <v>41730</v>
      </c>
      <c r="AM8" s="994" t="s">
        <v>49</v>
      </c>
      <c r="AN8" s="994">
        <v>41791</v>
      </c>
      <c r="AO8" s="994">
        <v>41821</v>
      </c>
      <c r="AP8" s="994">
        <v>41852</v>
      </c>
      <c r="AQ8" s="994">
        <v>41883</v>
      </c>
      <c r="AR8" s="994" t="s">
        <v>50</v>
      </c>
      <c r="AS8" s="994">
        <v>41944</v>
      </c>
      <c r="AT8" s="994" t="s">
        <v>51</v>
      </c>
      <c r="AU8" s="994" t="s">
        <v>21</v>
      </c>
      <c r="AV8" s="291"/>
    </row>
    <row r="9" spans="2:48" s="290" customFormat="1" ht="17" customHeight="1" thickBot="1">
      <c r="B9" s="289"/>
      <c r="C9" s="995" t="str">
        <f>Parameter!D9</f>
        <v>Product 1</v>
      </c>
      <c r="D9" s="988"/>
      <c r="E9" s="989"/>
      <c r="F9" s="226"/>
      <c r="G9" s="306"/>
      <c r="H9" s="306"/>
      <c r="I9" s="306"/>
      <c r="J9" s="306"/>
      <c r="K9" s="306"/>
      <c r="L9" s="306"/>
      <c r="M9" s="306"/>
      <c r="N9" s="306"/>
      <c r="O9" s="306"/>
      <c r="P9" s="306"/>
      <c r="Q9" s="306"/>
      <c r="R9" s="306"/>
      <c r="S9" s="292"/>
      <c r="T9" s="293"/>
      <c r="U9" s="306"/>
      <c r="V9" s="306"/>
      <c r="W9" s="306"/>
      <c r="X9" s="306"/>
      <c r="Y9" s="306"/>
      <c r="Z9" s="306"/>
      <c r="AA9" s="306"/>
      <c r="AB9" s="306"/>
      <c r="AC9" s="306"/>
      <c r="AD9" s="306"/>
      <c r="AE9" s="306"/>
      <c r="AF9" s="306"/>
      <c r="AG9" s="292"/>
      <c r="AI9" s="306"/>
      <c r="AJ9" s="306"/>
      <c r="AK9" s="306"/>
      <c r="AL9" s="306"/>
      <c r="AM9" s="306"/>
      <c r="AN9" s="306"/>
      <c r="AO9" s="306"/>
      <c r="AP9" s="306"/>
      <c r="AQ9" s="306"/>
      <c r="AR9" s="306"/>
      <c r="AS9" s="306"/>
      <c r="AT9" s="306"/>
      <c r="AU9" s="292"/>
      <c r="AV9" s="291"/>
    </row>
    <row r="10" spans="2:48" s="290" customFormat="1">
      <c r="B10" s="289"/>
      <c r="C10" s="1016" t="s">
        <v>399</v>
      </c>
      <c r="D10" s="1278"/>
      <c r="E10" s="1279"/>
      <c r="F10" s="294"/>
      <c r="G10" s="1019"/>
      <c r="H10" s="1019"/>
      <c r="I10" s="1019">
        <v>3</v>
      </c>
      <c r="J10" s="1019"/>
      <c r="K10" s="1019"/>
      <c r="L10" s="1019"/>
      <c r="M10" s="1019"/>
      <c r="N10" s="1019"/>
      <c r="O10" s="1019"/>
      <c r="P10" s="1019"/>
      <c r="Q10" s="1019"/>
      <c r="R10" s="1019"/>
      <c r="S10" s="307">
        <f>SUM(G10:R10)</f>
        <v>3</v>
      </c>
      <c r="T10" s="305"/>
      <c r="U10" s="1019"/>
      <c r="V10" s="1019"/>
      <c r="W10" s="1019"/>
      <c r="X10" s="1019"/>
      <c r="Y10" s="1019"/>
      <c r="Z10" s="1019"/>
      <c r="AA10" s="1019"/>
      <c r="AB10" s="1019"/>
      <c r="AC10" s="1019">
        <v>3</v>
      </c>
      <c r="AD10" s="1019"/>
      <c r="AE10" s="1019"/>
      <c r="AF10" s="1019"/>
      <c r="AG10" s="307">
        <f>SUM(U10:AF10)</f>
        <v>3</v>
      </c>
      <c r="AI10" s="1019"/>
      <c r="AJ10" s="1019"/>
      <c r="AK10" s="1019">
        <v>3</v>
      </c>
      <c r="AL10" s="1019"/>
      <c r="AM10" s="1019"/>
      <c r="AN10" s="1019"/>
      <c r="AO10" s="1019"/>
      <c r="AP10" s="1019"/>
      <c r="AQ10" s="1019"/>
      <c r="AR10" s="1019"/>
      <c r="AS10" s="1019"/>
      <c r="AT10" s="1019"/>
      <c r="AU10" s="307">
        <f>SUM(AI10:AT10)</f>
        <v>3</v>
      </c>
      <c r="AV10" s="291"/>
    </row>
    <row r="11" spans="2:48" s="290" customFormat="1">
      <c r="B11" s="289"/>
      <c r="C11" s="1017" t="s">
        <v>396</v>
      </c>
      <c r="D11" s="1274"/>
      <c r="E11" s="1275"/>
      <c r="F11" s="294"/>
      <c r="G11" s="1020"/>
      <c r="H11" s="1020"/>
      <c r="I11" s="1020">
        <v>1</v>
      </c>
      <c r="J11" s="1020"/>
      <c r="K11" s="1020"/>
      <c r="L11" s="1020"/>
      <c r="M11" s="1020"/>
      <c r="N11" s="1020"/>
      <c r="O11" s="1020"/>
      <c r="P11" s="1020"/>
      <c r="Q11" s="1020"/>
      <c r="R11" s="1020"/>
      <c r="S11" s="308">
        <f>SUM(H11:R11)</f>
        <v>1</v>
      </c>
      <c r="T11" s="305"/>
      <c r="U11" s="1020"/>
      <c r="V11" s="1020"/>
      <c r="W11" s="1020"/>
      <c r="X11" s="1020"/>
      <c r="Y11" s="1020"/>
      <c r="Z11" s="1020"/>
      <c r="AA11" s="1020"/>
      <c r="AB11" s="1020"/>
      <c r="AC11" s="1020"/>
      <c r="AD11" s="1020">
        <v>1</v>
      </c>
      <c r="AE11" s="1020"/>
      <c r="AF11" s="1020"/>
      <c r="AG11" s="308">
        <f t="shared" ref="AG11:AG17" si="0">SUM(U11:AF11)</f>
        <v>1</v>
      </c>
      <c r="AI11" s="1020"/>
      <c r="AJ11" s="1020">
        <v>1</v>
      </c>
      <c r="AK11" s="1020"/>
      <c r="AL11" s="1020"/>
      <c r="AM11" s="1020"/>
      <c r="AN11" s="1020"/>
      <c r="AO11" s="1020"/>
      <c r="AP11" s="1020"/>
      <c r="AQ11" s="1020"/>
      <c r="AR11" s="1020"/>
      <c r="AS11" s="1020"/>
      <c r="AT11" s="1020"/>
      <c r="AU11" s="308">
        <f t="shared" ref="AU11:AU17" si="1">SUM(AI11:AT11)</f>
        <v>1</v>
      </c>
      <c r="AV11" s="291"/>
    </row>
    <row r="12" spans="2:48" s="290" customFormat="1">
      <c r="B12" s="289"/>
      <c r="C12" s="1017"/>
      <c r="D12" s="1274"/>
      <c r="E12" s="1275"/>
      <c r="F12" s="294"/>
      <c r="G12" s="1020"/>
      <c r="H12" s="1020"/>
      <c r="I12" s="1020"/>
      <c r="J12" s="1020"/>
      <c r="K12" s="1020"/>
      <c r="L12" s="1020"/>
      <c r="M12" s="1020"/>
      <c r="N12" s="1020"/>
      <c r="O12" s="1020"/>
      <c r="P12" s="1020"/>
      <c r="Q12" s="1020"/>
      <c r="R12" s="1020"/>
      <c r="S12" s="308">
        <f t="shared" ref="S12:S24" si="2">SUM(G12:R12)</f>
        <v>0</v>
      </c>
      <c r="T12" s="305"/>
      <c r="U12" s="1020"/>
      <c r="V12" s="1020"/>
      <c r="W12" s="1020"/>
      <c r="X12" s="1020"/>
      <c r="Y12" s="1020"/>
      <c r="Z12" s="1020"/>
      <c r="AA12" s="1020"/>
      <c r="AB12" s="1020"/>
      <c r="AC12" s="1020"/>
      <c r="AD12" s="1020"/>
      <c r="AE12" s="1020"/>
      <c r="AF12" s="1020"/>
      <c r="AG12" s="308">
        <f t="shared" si="0"/>
        <v>0</v>
      </c>
      <c r="AI12" s="1020"/>
      <c r="AJ12" s="1020"/>
      <c r="AK12" s="1020"/>
      <c r="AL12" s="1020"/>
      <c r="AM12" s="1020"/>
      <c r="AN12" s="1020"/>
      <c r="AO12" s="1020"/>
      <c r="AP12" s="1020"/>
      <c r="AQ12" s="1020"/>
      <c r="AR12" s="1020"/>
      <c r="AS12" s="1020"/>
      <c r="AT12" s="1020"/>
      <c r="AU12" s="308">
        <f t="shared" si="1"/>
        <v>0</v>
      </c>
      <c r="AV12" s="291"/>
    </row>
    <row r="13" spans="2:48" s="290" customFormat="1">
      <c r="B13" s="289"/>
      <c r="C13" s="1017"/>
      <c r="D13" s="1274"/>
      <c r="E13" s="1275"/>
      <c r="F13" s="294"/>
      <c r="G13" s="1020"/>
      <c r="H13" s="1020"/>
      <c r="I13" s="1020"/>
      <c r="J13" s="1020"/>
      <c r="K13" s="1020"/>
      <c r="L13" s="1020"/>
      <c r="M13" s="1020"/>
      <c r="N13" s="1020"/>
      <c r="O13" s="1020"/>
      <c r="P13" s="1020"/>
      <c r="Q13" s="1020"/>
      <c r="R13" s="1020"/>
      <c r="S13" s="308">
        <f t="shared" si="2"/>
        <v>0</v>
      </c>
      <c r="T13" s="305"/>
      <c r="U13" s="1020"/>
      <c r="V13" s="1020"/>
      <c r="W13" s="1020"/>
      <c r="X13" s="1020"/>
      <c r="Y13" s="1020"/>
      <c r="Z13" s="1020"/>
      <c r="AA13" s="1020"/>
      <c r="AB13" s="1020"/>
      <c r="AC13" s="1020"/>
      <c r="AD13" s="1020"/>
      <c r="AE13" s="1020"/>
      <c r="AF13" s="1020"/>
      <c r="AG13" s="308">
        <f t="shared" si="0"/>
        <v>0</v>
      </c>
      <c r="AI13" s="1020"/>
      <c r="AJ13" s="1020"/>
      <c r="AK13" s="1020"/>
      <c r="AL13" s="1020"/>
      <c r="AM13" s="1020"/>
      <c r="AN13" s="1020"/>
      <c r="AO13" s="1020"/>
      <c r="AP13" s="1020"/>
      <c r="AQ13" s="1020"/>
      <c r="AR13" s="1020"/>
      <c r="AS13" s="1020"/>
      <c r="AT13" s="1020"/>
      <c r="AU13" s="308">
        <f t="shared" si="1"/>
        <v>0</v>
      </c>
      <c r="AV13" s="291"/>
    </row>
    <row r="14" spans="2:48" s="290" customFormat="1">
      <c r="B14" s="289"/>
      <c r="C14" s="1017"/>
      <c r="D14" s="1274"/>
      <c r="E14" s="1275"/>
      <c r="F14" s="294"/>
      <c r="G14" s="1020"/>
      <c r="H14" s="1020"/>
      <c r="I14" s="1020"/>
      <c r="J14" s="1020"/>
      <c r="K14" s="1020"/>
      <c r="L14" s="1020"/>
      <c r="M14" s="1020"/>
      <c r="N14" s="1020"/>
      <c r="O14" s="1020"/>
      <c r="P14" s="1020"/>
      <c r="Q14" s="1020"/>
      <c r="R14" s="1020"/>
      <c r="S14" s="308">
        <f t="shared" si="2"/>
        <v>0</v>
      </c>
      <c r="T14" s="305"/>
      <c r="U14" s="1020"/>
      <c r="V14" s="1020"/>
      <c r="W14" s="1020"/>
      <c r="X14" s="1020"/>
      <c r="Y14" s="1020"/>
      <c r="Z14" s="1020"/>
      <c r="AA14" s="1020"/>
      <c r="AB14" s="1020"/>
      <c r="AC14" s="1020"/>
      <c r="AD14" s="1020"/>
      <c r="AE14" s="1020"/>
      <c r="AF14" s="1020"/>
      <c r="AG14" s="308">
        <f t="shared" si="0"/>
        <v>0</v>
      </c>
      <c r="AI14" s="1020"/>
      <c r="AJ14" s="1020"/>
      <c r="AK14" s="1020"/>
      <c r="AL14" s="1020"/>
      <c r="AM14" s="1020"/>
      <c r="AN14" s="1020"/>
      <c r="AO14" s="1020"/>
      <c r="AP14" s="1020"/>
      <c r="AQ14" s="1020"/>
      <c r="AR14" s="1020"/>
      <c r="AS14" s="1020"/>
      <c r="AT14" s="1020"/>
      <c r="AU14" s="308">
        <f t="shared" si="1"/>
        <v>0</v>
      </c>
      <c r="AV14" s="291"/>
    </row>
    <row r="15" spans="2:48" s="290" customFormat="1">
      <c r="B15" s="289"/>
      <c r="C15" s="1017"/>
      <c r="D15" s="1274"/>
      <c r="E15" s="1275"/>
      <c r="F15" s="294"/>
      <c r="G15" s="1020"/>
      <c r="H15" s="1020"/>
      <c r="I15" s="1020"/>
      <c r="J15" s="1020"/>
      <c r="K15" s="1020"/>
      <c r="L15" s="1020"/>
      <c r="M15" s="1020"/>
      <c r="N15" s="1020"/>
      <c r="O15" s="1020"/>
      <c r="P15" s="1020"/>
      <c r="Q15" s="1020"/>
      <c r="R15" s="1020"/>
      <c r="S15" s="308">
        <f t="shared" si="2"/>
        <v>0</v>
      </c>
      <c r="T15" s="305"/>
      <c r="U15" s="1020"/>
      <c r="V15" s="1020"/>
      <c r="W15" s="1020"/>
      <c r="X15" s="1020"/>
      <c r="Y15" s="1020"/>
      <c r="Z15" s="1020"/>
      <c r="AA15" s="1020"/>
      <c r="AB15" s="1020"/>
      <c r="AC15" s="1020"/>
      <c r="AD15" s="1020"/>
      <c r="AE15" s="1020"/>
      <c r="AF15" s="1020"/>
      <c r="AG15" s="308">
        <f t="shared" si="0"/>
        <v>0</v>
      </c>
      <c r="AI15" s="1020"/>
      <c r="AJ15" s="1020"/>
      <c r="AK15" s="1020"/>
      <c r="AL15" s="1020"/>
      <c r="AM15" s="1020"/>
      <c r="AN15" s="1020"/>
      <c r="AO15" s="1020"/>
      <c r="AP15" s="1020"/>
      <c r="AQ15" s="1020"/>
      <c r="AR15" s="1020"/>
      <c r="AS15" s="1020"/>
      <c r="AT15" s="1020"/>
      <c r="AU15" s="308">
        <f t="shared" si="1"/>
        <v>0</v>
      </c>
      <c r="AV15" s="291"/>
    </row>
    <row r="16" spans="2:48" s="290" customFormat="1" ht="14" thickBot="1">
      <c r="B16" s="289"/>
      <c r="C16" s="1018"/>
      <c r="D16" s="1280"/>
      <c r="E16" s="1281"/>
      <c r="F16" s="294"/>
      <c r="G16" s="1021"/>
      <c r="H16" s="1021"/>
      <c r="I16" s="1021"/>
      <c r="J16" s="1021"/>
      <c r="K16" s="1021"/>
      <c r="L16" s="1021"/>
      <c r="M16" s="1021"/>
      <c r="N16" s="1021"/>
      <c r="O16" s="1021"/>
      <c r="P16" s="1021"/>
      <c r="Q16" s="1021"/>
      <c r="R16" s="1021"/>
      <c r="S16" s="309">
        <f t="shared" si="2"/>
        <v>0</v>
      </c>
      <c r="T16" s="305"/>
      <c r="U16" s="1021"/>
      <c r="V16" s="1021"/>
      <c r="W16" s="1021"/>
      <c r="X16" s="1021"/>
      <c r="Y16" s="1021"/>
      <c r="Z16" s="1021"/>
      <c r="AA16" s="1021"/>
      <c r="AB16" s="1021"/>
      <c r="AC16" s="1021"/>
      <c r="AD16" s="1021"/>
      <c r="AE16" s="1021"/>
      <c r="AF16" s="1021"/>
      <c r="AG16" s="309">
        <f t="shared" si="0"/>
        <v>0</v>
      </c>
      <c r="AI16" s="1021"/>
      <c r="AJ16" s="1021"/>
      <c r="AK16" s="1021"/>
      <c r="AL16" s="1021"/>
      <c r="AM16" s="1021"/>
      <c r="AN16" s="1021"/>
      <c r="AO16" s="1021"/>
      <c r="AP16" s="1021"/>
      <c r="AQ16" s="1021"/>
      <c r="AR16" s="1021"/>
      <c r="AS16" s="1021"/>
      <c r="AT16" s="1021"/>
      <c r="AU16" s="309">
        <f t="shared" si="1"/>
        <v>0</v>
      </c>
      <c r="AV16" s="291"/>
    </row>
    <row r="17" spans="2:48" s="290" customFormat="1" ht="14" thickBot="1">
      <c r="B17" s="289"/>
      <c r="C17" s="996"/>
      <c r="D17" s="997" t="str">
        <f>"Total "&amp;C9</f>
        <v>Total Product 1</v>
      </c>
      <c r="E17" s="998"/>
      <c r="F17" s="294"/>
      <c r="G17" s="991">
        <f t="shared" ref="G17:R17" si="3">SUM(G10:G16)</f>
        <v>0</v>
      </c>
      <c r="H17" s="991">
        <f t="shared" si="3"/>
        <v>0</v>
      </c>
      <c r="I17" s="991">
        <f t="shared" si="3"/>
        <v>4</v>
      </c>
      <c r="J17" s="991">
        <f t="shared" si="3"/>
        <v>0</v>
      </c>
      <c r="K17" s="991">
        <f t="shared" si="3"/>
        <v>0</v>
      </c>
      <c r="L17" s="991">
        <f t="shared" si="3"/>
        <v>0</v>
      </c>
      <c r="M17" s="991">
        <f t="shared" si="3"/>
        <v>0</v>
      </c>
      <c r="N17" s="991">
        <f t="shared" si="3"/>
        <v>0</v>
      </c>
      <c r="O17" s="991">
        <f t="shared" si="3"/>
        <v>0</v>
      </c>
      <c r="P17" s="991">
        <f t="shared" si="3"/>
        <v>0</v>
      </c>
      <c r="Q17" s="991">
        <f t="shared" si="3"/>
        <v>0</v>
      </c>
      <c r="R17" s="991">
        <f t="shared" si="3"/>
        <v>0</v>
      </c>
      <c r="S17" s="992">
        <f t="shared" si="2"/>
        <v>4</v>
      </c>
      <c r="T17" s="295"/>
      <c r="U17" s="991">
        <f t="shared" ref="U17:AF17" si="4">SUM(U10:U16)</f>
        <v>0</v>
      </c>
      <c r="V17" s="991">
        <f t="shared" si="4"/>
        <v>0</v>
      </c>
      <c r="W17" s="991">
        <f t="shared" si="4"/>
        <v>0</v>
      </c>
      <c r="X17" s="991">
        <f t="shared" si="4"/>
        <v>0</v>
      </c>
      <c r="Y17" s="991">
        <f t="shared" si="4"/>
        <v>0</v>
      </c>
      <c r="Z17" s="991">
        <f t="shared" si="4"/>
        <v>0</v>
      </c>
      <c r="AA17" s="991">
        <f t="shared" si="4"/>
        <v>0</v>
      </c>
      <c r="AB17" s="991">
        <f t="shared" si="4"/>
        <v>0</v>
      </c>
      <c r="AC17" s="991">
        <f t="shared" si="4"/>
        <v>3</v>
      </c>
      <c r="AD17" s="991">
        <f t="shared" si="4"/>
        <v>1</v>
      </c>
      <c r="AE17" s="991">
        <f t="shared" si="4"/>
        <v>0</v>
      </c>
      <c r="AF17" s="991">
        <f t="shared" si="4"/>
        <v>0</v>
      </c>
      <c r="AG17" s="992">
        <f t="shared" si="0"/>
        <v>4</v>
      </c>
      <c r="AI17" s="991">
        <f t="shared" ref="AI17:AT17" si="5">SUM(AI10:AI16)</f>
        <v>0</v>
      </c>
      <c r="AJ17" s="991">
        <f t="shared" si="5"/>
        <v>1</v>
      </c>
      <c r="AK17" s="991">
        <f t="shared" si="5"/>
        <v>3</v>
      </c>
      <c r="AL17" s="991">
        <f t="shared" si="5"/>
        <v>0</v>
      </c>
      <c r="AM17" s="991">
        <f t="shared" si="5"/>
        <v>0</v>
      </c>
      <c r="AN17" s="991">
        <f t="shared" si="5"/>
        <v>0</v>
      </c>
      <c r="AO17" s="991">
        <f t="shared" si="5"/>
        <v>0</v>
      </c>
      <c r="AP17" s="991">
        <f t="shared" si="5"/>
        <v>0</v>
      </c>
      <c r="AQ17" s="991">
        <f t="shared" si="5"/>
        <v>0</v>
      </c>
      <c r="AR17" s="991">
        <f t="shared" si="5"/>
        <v>0</v>
      </c>
      <c r="AS17" s="991">
        <f t="shared" si="5"/>
        <v>0</v>
      </c>
      <c r="AT17" s="991">
        <f t="shared" si="5"/>
        <v>0</v>
      </c>
      <c r="AU17" s="992">
        <f t="shared" si="1"/>
        <v>4</v>
      </c>
      <c r="AV17" s="291"/>
    </row>
    <row r="18" spans="2:48" s="290" customFormat="1" ht="14" thickBot="1">
      <c r="B18" s="289"/>
      <c r="C18" s="990"/>
      <c r="D18" s="297"/>
      <c r="E18" s="298"/>
      <c r="F18" s="294"/>
      <c r="G18" s="299"/>
      <c r="H18" s="299"/>
      <c r="I18" s="299"/>
      <c r="J18" s="299"/>
      <c r="K18" s="299"/>
      <c r="L18" s="299"/>
      <c r="M18" s="299"/>
      <c r="N18" s="299"/>
      <c r="O18" s="299"/>
      <c r="P18" s="299"/>
      <c r="Q18" s="299"/>
      <c r="R18" s="299"/>
      <c r="S18" s="300"/>
      <c r="T18" s="295"/>
      <c r="U18" s="299"/>
      <c r="V18" s="299"/>
      <c r="W18" s="299"/>
      <c r="X18" s="299"/>
      <c r="Y18" s="299"/>
      <c r="Z18" s="299"/>
      <c r="AA18" s="299"/>
      <c r="AB18" s="299"/>
      <c r="AC18" s="299"/>
      <c r="AD18" s="299"/>
      <c r="AE18" s="299"/>
      <c r="AF18" s="299"/>
      <c r="AG18" s="300"/>
      <c r="AI18" s="299"/>
      <c r="AJ18" s="299"/>
      <c r="AK18" s="299"/>
      <c r="AL18" s="299"/>
      <c r="AM18" s="299"/>
      <c r="AN18" s="299"/>
      <c r="AO18" s="299"/>
      <c r="AP18" s="299"/>
      <c r="AQ18" s="299"/>
      <c r="AR18" s="299"/>
      <c r="AS18" s="299"/>
      <c r="AT18" s="299"/>
      <c r="AU18" s="300"/>
      <c r="AV18" s="291"/>
    </row>
    <row r="19" spans="2:48" s="290" customFormat="1" ht="17" customHeight="1">
      <c r="B19" s="289"/>
      <c r="C19" s="995" t="str">
        <f>Parameter!D10</f>
        <v>Product 2</v>
      </c>
      <c r="D19" s="988"/>
      <c r="E19" s="989"/>
      <c r="F19" s="226"/>
      <c r="G19" s="306"/>
      <c r="H19" s="306"/>
      <c r="I19" s="306"/>
      <c r="J19" s="306"/>
      <c r="K19" s="306"/>
      <c r="L19" s="306"/>
      <c r="M19" s="306"/>
      <c r="N19" s="306"/>
      <c r="O19" s="306"/>
      <c r="P19" s="306"/>
      <c r="Q19" s="306"/>
      <c r="R19" s="306"/>
      <c r="S19" s="226"/>
      <c r="T19" s="196"/>
      <c r="U19" s="306"/>
      <c r="V19" s="306"/>
      <c r="W19" s="306"/>
      <c r="X19" s="306"/>
      <c r="Y19" s="306"/>
      <c r="Z19" s="306"/>
      <c r="AA19" s="306"/>
      <c r="AB19" s="306"/>
      <c r="AC19" s="306"/>
      <c r="AD19" s="306"/>
      <c r="AE19" s="306"/>
      <c r="AF19" s="306"/>
      <c r="AG19" s="226"/>
      <c r="AI19" s="306"/>
      <c r="AJ19" s="306"/>
      <c r="AK19" s="306"/>
      <c r="AL19" s="306"/>
      <c r="AM19" s="306"/>
      <c r="AN19" s="306"/>
      <c r="AO19" s="306"/>
      <c r="AP19" s="306"/>
      <c r="AQ19" s="306"/>
      <c r="AR19" s="306"/>
      <c r="AS19" s="306"/>
      <c r="AT19" s="306"/>
      <c r="AU19" s="226"/>
      <c r="AV19" s="291"/>
    </row>
    <row r="20" spans="2:48" s="290" customFormat="1">
      <c r="B20" s="289"/>
      <c r="C20" s="1017"/>
      <c r="D20" s="1274"/>
      <c r="E20" s="1275"/>
      <c r="F20" s="294"/>
      <c r="G20" s="1022"/>
      <c r="H20" s="1022"/>
      <c r="I20" s="1022"/>
      <c r="J20" s="1022"/>
      <c r="K20" s="1022"/>
      <c r="L20" s="1022"/>
      <c r="M20" s="1022"/>
      <c r="N20" s="1022"/>
      <c r="O20" s="1022"/>
      <c r="P20" s="1022"/>
      <c r="Q20" s="1022"/>
      <c r="R20" s="1022"/>
      <c r="S20" s="1023">
        <f t="shared" si="2"/>
        <v>0</v>
      </c>
      <c r="T20" s="305"/>
      <c r="U20" s="1022"/>
      <c r="V20" s="1022"/>
      <c r="W20" s="1022"/>
      <c r="X20" s="1022"/>
      <c r="Y20" s="1022"/>
      <c r="Z20" s="1022"/>
      <c r="AA20" s="1022"/>
      <c r="AB20" s="1022"/>
      <c r="AC20" s="1022"/>
      <c r="AD20" s="1022"/>
      <c r="AE20" s="1022"/>
      <c r="AF20" s="1022"/>
      <c r="AG20" s="1023">
        <f>SUM(U20:AF20)</f>
        <v>0</v>
      </c>
      <c r="AI20" s="1022"/>
      <c r="AJ20" s="1022"/>
      <c r="AK20" s="1022"/>
      <c r="AL20" s="1022"/>
      <c r="AM20" s="1022"/>
      <c r="AN20" s="1022"/>
      <c r="AO20" s="1022"/>
      <c r="AP20" s="1022"/>
      <c r="AQ20" s="1022"/>
      <c r="AR20" s="1022"/>
      <c r="AS20" s="1022"/>
      <c r="AT20" s="1022"/>
      <c r="AU20" s="1023">
        <f>SUM(AI20:AT20)</f>
        <v>0</v>
      </c>
      <c r="AV20" s="291"/>
    </row>
    <row r="21" spans="2:48" s="290" customFormat="1">
      <c r="B21" s="289"/>
      <c r="C21" s="1017"/>
      <c r="D21" s="1274"/>
      <c r="E21" s="1275"/>
      <c r="F21" s="294"/>
      <c r="G21" s="1020"/>
      <c r="H21" s="1020"/>
      <c r="I21" s="1020"/>
      <c r="J21" s="1020"/>
      <c r="K21" s="1020"/>
      <c r="L21" s="1020"/>
      <c r="M21" s="1020"/>
      <c r="N21" s="1020"/>
      <c r="O21" s="1020"/>
      <c r="P21" s="1020"/>
      <c r="Q21" s="1020"/>
      <c r="R21" s="1020"/>
      <c r="S21" s="308">
        <f t="shared" si="2"/>
        <v>0</v>
      </c>
      <c r="T21" s="305"/>
      <c r="U21" s="1020"/>
      <c r="V21" s="1020"/>
      <c r="W21" s="1020"/>
      <c r="X21" s="1020"/>
      <c r="Y21" s="1020"/>
      <c r="Z21" s="1020"/>
      <c r="AA21" s="1020"/>
      <c r="AB21" s="1020"/>
      <c r="AC21" s="1020"/>
      <c r="AD21" s="1020"/>
      <c r="AE21" s="1020"/>
      <c r="AF21" s="1020"/>
      <c r="AG21" s="308">
        <v>0</v>
      </c>
      <c r="AI21" s="1020"/>
      <c r="AJ21" s="1020"/>
      <c r="AK21" s="1020"/>
      <c r="AL21" s="1020"/>
      <c r="AM21" s="1020"/>
      <c r="AN21" s="1020"/>
      <c r="AO21" s="1020"/>
      <c r="AP21" s="1020"/>
      <c r="AQ21" s="1020"/>
      <c r="AR21" s="1020"/>
      <c r="AS21" s="1020"/>
      <c r="AT21" s="1020"/>
      <c r="AU21" s="308">
        <f>SUM(AI21:AT21)</f>
        <v>0</v>
      </c>
      <c r="AV21" s="291"/>
    </row>
    <row r="22" spans="2:48" s="290" customFormat="1">
      <c r="B22" s="289"/>
      <c r="C22" s="1017"/>
      <c r="D22" s="1274"/>
      <c r="E22" s="1275"/>
      <c r="F22" s="294"/>
      <c r="G22" s="1020"/>
      <c r="H22" s="1020"/>
      <c r="I22" s="1020"/>
      <c r="J22" s="1020"/>
      <c r="K22" s="1020"/>
      <c r="L22" s="1020"/>
      <c r="M22" s="1020"/>
      <c r="N22" s="1020"/>
      <c r="O22" s="1020"/>
      <c r="P22" s="1020"/>
      <c r="Q22" s="1020"/>
      <c r="R22" s="1020"/>
      <c r="S22" s="308">
        <f t="shared" si="2"/>
        <v>0</v>
      </c>
      <c r="T22" s="305"/>
      <c r="U22" s="1020"/>
      <c r="V22" s="1020"/>
      <c r="W22" s="1020"/>
      <c r="X22" s="1020"/>
      <c r="Y22" s="1020"/>
      <c r="Z22" s="1020"/>
      <c r="AA22" s="1020"/>
      <c r="AB22" s="1020"/>
      <c r="AC22" s="1020"/>
      <c r="AD22" s="1020"/>
      <c r="AE22" s="1020"/>
      <c r="AF22" s="1020"/>
      <c r="AG22" s="308">
        <f>SUM(U22:AF22)</f>
        <v>0</v>
      </c>
      <c r="AI22" s="1020"/>
      <c r="AJ22" s="1020"/>
      <c r="AK22" s="1020"/>
      <c r="AL22" s="1020"/>
      <c r="AM22" s="1020"/>
      <c r="AN22" s="1020"/>
      <c r="AO22" s="1020"/>
      <c r="AP22" s="1020"/>
      <c r="AQ22" s="1020"/>
      <c r="AR22" s="1020"/>
      <c r="AS22" s="1020"/>
      <c r="AT22" s="1020"/>
      <c r="AU22" s="308">
        <f>SUM(AI22:AT22)</f>
        <v>0</v>
      </c>
      <c r="AV22" s="291"/>
    </row>
    <row r="23" spans="2:48" s="290" customFormat="1" ht="14" thickBot="1">
      <c r="B23" s="289"/>
      <c r="C23" s="1017"/>
      <c r="D23" s="1274"/>
      <c r="E23" s="1275"/>
      <c r="F23" s="294"/>
      <c r="G23" s="1020"/>
      <c r="H23" s="1020"/>
      <c r="I23" s="1020"/>
      <c r="J23" s="1020"/>
      <c r="K23" s="1020"/>
      <c r="L23" s="1020"/>
      <c r="M23" s="1020"/>
      <c r="N23" s="1020"/>
      <c r="O23" s="1020"/>
      <c r="P23" s="1020"/>
      <c r="Q23" s="1020"/>
      <c r="R23" s="1020"/>
      <c r="S23" s="308">
        <f t="shared" si="2"/>
        <v>0</v>
      </c>
      <c r="T23" s="305"/>
      <c r="U23" s="1020"/>
      <c r="V23" s="1020"/>
      <c r="W23" s="1020"/>
      <c r="X23" s="1020"/>
      <c r="Y23" s="1020"/>
      <c r="Z23" s="1020"/>
      <c r="AA23" s="1020"/>
      <c r="AB23" s="1020"/>
      <c r="AC23" s="1020"/>
      <c r="AD23" s="1020"/>
      <c r="AE23" s="1020"/>
      <c r="AF23" s="1020"/>
      <c r="AG23" s="308">
        <f>SUM(U23:AF23)</f>
        <v>0</v>
      </c>
      <c r="AI23" s="1020"/>
      <c r="AJ23" s="1020"/>
      <c r="AK23" s="1020"/>
      <c r="AL23" s="1020"/>
      <c r="AM23" s="1020"/>
      <c r="AN23" s="1020"/>
      <c r="AO23" s="1020"/>
      <c r="AP23" s="1020"/>
      <c r="AQ23" s="1020"/>
      <c r="AR23" s="1020"/>
      <c r="AS23" s="1020"/>
      <c r="AT23" s="1020"/>
      <c r="AU23" s="308">
        <f>SUM(AI23:AT23)</f>
        <v>0</v>
      </c>
      <c r="AV23" s="291"/>
    </row>
    <row r="24" spans="2:48" s="290" customFormat="1" ht="14" thickBot="1">
      <c r="B24" s="289"/>
      <c r="C24" s="996"/>
      <c r="D24" s="997" t="str">
        <f>"Total "&amp;C19</f>
        <v>Total Product 2</v>
      </c>
      <c r="E24" s="998"/>
      <c r="F24" s="294"/>
      <c r="G24" s="991">
        <f>SUM(G20:G22)</f>
        <v>0</v>
      </c>
      <c r="H24" s="991">
        <f t="shared" ref="H24:M24" si="6">SUM(H20:H22)</f>
        <v>0</v>
      </c>
      <c r="I24" s="991">
        <f t="shared" si="6"/>
        <v>0</v>
      </c>
      <c r="J24" s="991">
        <f t="shared" si="6"/>
        <v>0</v>
      </c>
      <c r="K24" s="991">
        <f t="shared" si="6"/>
        <v>0</v>
      </c>
      <c r="L24" s="991">
        <f t="shared" si="6"/>
        <v>0</v>
      </c>
      <c r="M24" s="991">
        <f t="shared" si="6"/>
        <v>0</v>
      </c>
      <c r="N24" s="991">
        <f>SUM(N20:N22)</f>
        <v>0</v>
      </c>
      <c r="O24" s="991">
        <f>SUM(O20:O22)</f>
        <v>0</v>
      </c>
      <c r="P24" s="991">
        <f>SUM(P20:P22)</f>
        <v>0</v>
      </c>
      <c r="Q24" s="991">
        <f>SUM(Q20:Q22)</f>
        <v>0</v>
      </c>
      <c r="R24" s="991">
        <f>SUM(R20:R22)</f>
        <v>0</v>
      </c>
      <c r="S24" s="992">
        <f t="shared" si="2"/>
        <v>0</v>
      </c>
      <c r="T24" s="295"/>
      <c r="U24" s="991">
        <f>SUM(U20:U22)</f>
        <v>0</v>
      </c>
      <c r="V24" s="991">
        <f t="shared" ref="V24:AA24" si="7">SUM(V20:V22)</f>
        <v>0</v>
      </c>
      <c r="W24" s="991">
        <f t="shared" si="7"/>
        <v>0</v>
      </c>
      <c r="X24" s="991">
        <f t="shared" si="7"/>
        <v>0</v>
      </c>
      <c r="Y24" s="991">
        <f t="shared" si="7"/>
        <v>0</v>
      </c>
      <c r="Z24" s="991">
        <f t="shared" si="7"/>
        <v>0</v>
      </c>
      <c r="AA24" s="991">
        <f t="shared" si="7"/>
        <v>0</v>
      </c>
      <c r="AB24" s="991">
        <f>SUM(AB20:AB22)</f>
        <v>0</v>
      </c>
      <c r="AC24" s="991">
        <f>SUM(AC20:AC22)</f>
        <v>0</v>
      </c>
      <c r="AD24" s="991">
        <f>SUM(AD20:AD22)</f>
        <v>0</v>
      </c>
      <c r="AE24" s="991">
        <f>SUM(AE20:AE22)</f>
        <v>0</v>
      </c>
      <c r="AF24" s="991">
        <f>SUM(AF20:AF22)</f>
        <v>0</v>
      </c>
      <c r="AG24" s="992">
        <f>SUM(U24:AF24)</f>
        <v>0</v>
      </c>
      <c r="AI24" s="991">
        <f>SUM(AI20:AI23)</f>
        <v>0</v>
      </c>
      <c r="AJ24" s="991">
        <f t="shared" ref="AJ24:AO24" si="8">SUM(AJ20:AJ22)</f>
        <v>0</v>
      </c>
      <c r="AK24" s="991">
        <f t="shared" si="8"/>
        <v>0</v>
      </c>
      <c r="AL24" s="991">
        <f t="shared" si="8"/>
        <v>0</v>
      </c>
      <c r="AM24" s="991">
        <f t="shared" si="8"/>
        <v>0</v>
      </c>
      <c r="AN24" s="991">
        <f t="shared" si="8"/>
        <v>0</v>
      </c>
      <c r="AO24" s="991">
        <f t="shared" si="8"/>
        <v>0</v>
      </c>
      <c r="AP24" s="991">
        <f>SUM(AP20:AP22)</f>
        <v>0</v>
      </c>
      <c r="AQ24" s="991">
        <f>SUM(AQ20:AQ22)</f>
        <v>0</v>
      </c>
      <c r="AR24" s="991">
        <f>SUM(AR20:AR22)</f>
        <v>0</v>
      </c>
      <c r="AS24" s="991">
        <f>SUM(AS20:AS22)</f>
        <v>0</v>
      </c>
      <c r="AT24" s="991">
        <f>SUM(AT20:AT22)</f>
        <v>0</v>
      </c>
      <c r="AU24" s="992">
        <f>SUM(AI24:AT24)</f>
        <v>0</v>
      </c>
      <c r="AV24" s="291"/>
    </row>
    <row r="25" spans="2:48" s="290" customFormat="1" ht="14" thickBot="1">
      <c r="B25" s="289"/>
      <c r="C25" s="296"/>
      <c r="D25" s="297"/>
      <c r="E25" s="298"/>
      <c r="F25" s="294"/>
      <c r="G25" s="299"/>
      <c r="H25" s="299"/>
      <c r="I25" s="299"/>
      <c r="J25" s="299"/>
      <c r="K25" s="299"/>
      <c r="L25" s="299"/>
      <c r="M25" s="299"/>
      <c r="N25" s="299"/>
      <c r="O25" s="299"/>
      <c r="P25" s="299"/>
      <c r="Q25" s="299"/>
      <c r="R25" s="299"/>
      <c r="S25" s="300"/>
      <c r="T25" s="295"/>
      <c r="U25" s="299"/>
      <c r="V25" s="299"/>
      <c r="W25" s="299"/>
      <c r="X25" s="299"/>
      <c r="Y25" s="299"/>
      <c r="Z25" s="299"/>
      <c r="AA25" s="299"/>
      <c r="AB25" s="299"/>
      <c r="AC25" s="299"/>
      <c r="AD25" s="299"/>
      <c r="AE25" s="299"/>
      <c r="AF25" s="299"/>
      <c r="AG25" s="300"/>
      <c r="AI25" s="299"/>
      <c r="AJ25" s="299"/>
      <c r="AK25" s="299"/>
      <c r="AL25" s="299"/>
      <c r="AM25" s="299"/>
      <c r="AN25" s="299"/>
      <c r="AO25" s="299"/>
      <c r="AP25" s="299"/>
      <c r="AQ25" s="299"/>
      <c r="AR25" s="299"/>
      <c r="AS25" s="299"/>
      <c r="AT25" s="299"/>
      <c r="AU25" s="300"/>
      <c r="AV25" s="291"/>
    </row>
    <row r="26" spans="2:48" s="290" customFormat="1" ht="17" customHeight="1">
      <c r="B26" s="289"/>
      <c r="C26" s="995" t="str">
        <f>Parameter!D11</f>
        <v>Product 3</v>
      </c>
      <c r="D26" s="988"/>
      <c r="E26" s="989"/>
      <c r="F26" s="226"/>
      <c r="G26" s="306"/>
      <c r="H26" s="306"/>
      <c r="I26" s="306"/>
      <c r="J26" s="306"/>
      <c r="K26" s="306"/>
      <c r="L26" s="306"/>
      <c r="M26" s="306"/>
      <c r="N26" s="306"/>
      <c r="O26" s="306"/>
      <c r="P26" s="306"/>
      <c r="Q26" s="306"/>
      <c r="R26" s="306"/>
      <c r="S26" s="306"/>
      <c r="T26" s="196"/>
      <c r="U26" s="306"/>
      <c r="V26" s="306"/>
      <c r="W26" s="306"/>
      <c r="X26" s="306"/>
      <c r="Y26" s="306"/>
      <c r="Z26" s="306"/>
      <c r="AA26" s="306"/>
      <c r="AB26" s="306"/>
      <c r="AC26" s="306"/>
      <c r="AD26" s="306"/>
      <c r="AE26" s="306"/>
      <c r="AF26" s="306"/>
      <c r="AG26" s="306"/>
      <c r="AI26" s="306"/>
      <c r="AJ26" s="306"/>
      <c r="AK26" s="306"/>
      <c r="AL26" s="306"/>
      <c r="AM26" s="306"/>
      <c r="AN26" s="306"/>
      <c r="AO26" s="306"/>
      <c r="AP26" s="306"/>
      <c r="AQ26" s="306"/>
      <c r="AR26" s="306"/>
      <c r="AS26" s="306"/>
      <c r="AT26" s="306"/>
      <c r="AU26" s="306"/>
      <c r="AV26" s="291"/>
    </row>
    <row r="27" spans="2:48" s="290" customFormat="1">
      <c r="B27" s="289"/>
      <c r="C27" s="1017"/>
      <c r="D27" s="1274"/>
      <c r="E27" s="1275"/>
      <c r="F27" s="294"/>
      <c r="G27" s="1024"/>
      <c r="H27" s="1024"/>
      <c r="I27" s="1024"/>
      <c r="J27" s="1024"/>
      <c r="K27" s="1024"/>
      <c r="L27" s="1024"/>
      <c r="M27" s="1024"/>
      <c r="N27" s="1024"/>
      <c r="O27" s="1024"/>
      <c r="P27" s="1024"/>
      <c r="Q27" s="1024"/>
      <c r="R27" s="1024"/>
      <c r="S27" s="1023">
        <f>SUM(G27:R27)</f>
        <v>0</v>
      </c>
      <c r="T27" s="305"/>
      <c r="U27" s="1024"/>
      <c r="V27" s="1024"/>
      <c r="W27" s="1024"/>
      <c r="X27" s="1024"/>
      <c r="Y27" s="1024"/>
      <c r="Z27" s="1024"/>
      <c r="AA27" s="1024"/>
      <c r="AB27" s="1024"/>
      <c r="AC27" s="1024"/>
      <c r="AD27" s="1024"/>
      <c r="AE27" s="1024"/>
      <c r="AF27" s="1024"/>
      <c r="AG27" s="308">
        <f>SUM(U27:AF27)</f>
        <v>0</v>
      </c>
      <c r="AI27" s="1024"/>
      <c r="AJ27" s="1024"/>
      <c r="AK27" s="1024"/>
      <c r="AL27" s="1024"/>
      <c r="AM27" s="1024"/>
      <c r="AN27" s="1024"/>
      <c r="AO27" s="1024"/>
      <c r="AP27" s="1024"/>
      <c r="AQ27" s="1024"/>
      <c r="AR27" s="1024"/>
      <c r="AS27" s="1024"/>
      <c r="AT27" s="1024"/>
      <c r="AU27" s="308">
        <f>SUM(AI27:AT27)</f>
        <v>0</v>
      </c>
      <c r="AV27" s="291"/>
    </row>
    <row r="28" spans="2:48" s="290" customFormat="1">
      <c r="B28" s="289"/>
      <c r="C28" s="1017"/>
      <c r="D28" s="1274"/>
      <c r="E28" s="1275"/>
      <c r="F28" s="294"/>
      <c r="G28" s="1020"/>
      <c r="H28" s="1020"/>
      <c r="I28" s="1020"/>
      <c r="J28" s="1020"/>
      <c r="K28" s="1020"/>
      <c r="L28" s="1020"/>
      <c r="M28" s="1020"/>
      <c r="N28" s="1020"/>
      <c r="O28" s="1020"/>
      <c r="P28" s="1020"/>
      <c r="Q28" s="1020"/>
      <c r="R28" s="1020"/>
      <c r="S28" s="308">
        <f>SUM(G28:R28)</f>
        <v>0</v>
      </c>
      <c r="T28" s="305"/>
      <c r="U28" s="1020"/>
      <c r="V28" s="1020"/>
      <c r="W28" s="1020"/>
      <c r="X28" s="1020"/>
      <c r="Y28" s="1020"/>
      <c r="Z28" s="1020"/>
      <c r="AA28" s="1020"/>
      <c r="AB28" s="1020"/>
      <c r="AC28" s="1020"/>
      <c r="AD28" s="1020"/>
      <c r="AE28" s="1020"/>
      <c r="AF28" s="1020"/>
      <c r="AG28" s="308">
        <f>SUM(U28:AF28)</f>
        <v>0</v>
      </c>
      <c r="AI28" s="1020"/>
      <c r="AJ28" s="1020"/>
      <c r="AK28" s="1020"/>
      <c r="AL28" s="1020"/>
      <c r="AM28" s="1020"/>
      <c r="AN28" s="1020"/>
      <c r="AO28" s="1020"/>
      <c r="AP28" s="1020"/>
      <c r="AQ28" s="1020"/>
      <c r="AR28" s="1020"/>
      <c r="AS28" s="1020"/>
      <c r="AT28" s="1020"/>
      <c r="AU28" s="308">
        <f>SUM(AI28:AT28)</f>
        <v>0</v>
      </c>
      <c r="AV28" s="291"/>
    </row>
    <row r="29" spans="2:48" s="290" customFormat="1">
      <c r="B29" s="289"/>
      <c r="C29" s="1017"/>
      <c r="D29" s="1274"/>
      <c r="E29" s="1275"/>
      <c r="F29" s="294"/>
      <c r="G29" s="1020"/>
      <c r="H29" s="1020"/>
      <c r="I29" s="1020"/>
      <c r="J29" s="1020"/>
      <c r="K29" s="1020"/>
      <c r="L29" s="1020"/>
      <c r="M29" s="1020"/>
      <c r="N29" s="1020"/>
      <c r="O29" s="1020"/>
      <c r="P29" s="1020"/>
      <c r="Q29" s="1020"/>
      <c r="R29" s="1020"/>
      <c r="S29" s="308">
        <f>SUM(G29:R29)</f>
        <v>0</v>
      </c>
      <c r="T29" s="305"/>
      <c r="U29" s="1020"/>
      <c r="V29" s="1020"/>
      <c r="W29" s="1020"/>
      <c r="X29" s="1020"/>
      <c r="Y29" s="1020"/>
      <c r="Z29" s="1020"/>
      <c r="AA29" s="1020"/>
      <c r="AB29" s="1020"/>
      <c r="AC29" s="1020"/>
      <c r="AD29" s="1020"/>
      <c r="AE29" s="1020"/>
      <c r="AF29" s="1020"/>
      <c r="AG29" s="308">
        <f>SUM(U29:AF29)</f>
        <v>0</v>
      </c>
      <c r="AI29" s="1020"/>
      <c r="AJ29" s="1020"/>
      <c r="AK29" s="1020"/>
      <c r="AL29" s="1020"/>
      <c r="AM29" s="1020"/>
      <c r="AN29" s="1020"/>
      <c r="AO29" s="1020"/>
      <c r="AP29" s="1020"/>
      <c r="AQ29" s="1020"/>
      <c r="AR29" s="1020"/>
      <c r="AS29" s="1020"/>
      <c r="AT29" s="1020"/>
      <c r="AU29" s="308">
        <v>10</v>
      </c>
      <c r="AV29" s="291"/>
    </row>
    <row r="30" spans="2:48" s="290" customFormat="1" ht="14" thickBot="1">
      <c r="B30" s="289"/>
      <c r="C30" s="1017"/>
      <c r="D30" s="1274"/>
      <c r="E30" s="1275"/>
      <c r="F30" s="294"/>
      <c r="G30" s="1020"/>
      <c r="H30" s="1020"/>
      <c r="I30" s="1020"/>
      <c r="J30" s="1020"/>
      <c r="K30" s="1020"/>
      <c r="L30" s="1020"/>
      <c r="M30" s="1020"/>
      <c r="N30" s="1020"/>
      <c r="O30" s="1020"/>
      <c r="P30" s="1020"/>
      <c r="Q30" s="1020"/>
      <c r="R30" s="1020"/>
      <c r="S30" s="308">
        <f>SUM(G30:R30)</f>
        <v>0</v>
      </c>
      <c r="T30" s="305"/>
      <c r="U30" s="1020"/>
      <c r="V30" s="1020"/>
      <c r="W30" s="1020"/>
      <c r="X30" s="1020"/>
      <c r="Y30" s="1020"/>
      <c r="Z30" s="1020"/>
      <c r="AA30" s="1020"/>
      <c r="AB30" s="1020"/>
      <c r="AC30" s="1020"/>
      <c r="AD30" s="1020"/>
      <c r="AE30" s="1020"/>
      <c r="AF30" s="1020"/>
      <c r="AG30" s="308">
        <f>SUM(U30:AF30)</f>
        <v>0</v>
      </c>
      <c r="AI30" s="1020"/>
      <c r="AJ30" s="1020"/>
      <c r="AK30" s="1020"/>
      <c r="AL30" s="1020"/>
      <c r="AM30" s="1020"/>
      <c r="AN30" s="1020"/>
      <c r="AO30" s="1020"/>
      <c r="AP30" s="1020"/>
      <c r="AQ30" s="1020"/>
      <c r="AR30" s="1020"/>
      <c r="AS30" s="1020"/>
      <c r="AT30" s="1020"/>
      <c r="AU30" s="308"/>
      <c r="AV30" s="291"/>
    </row>
    <row r="31" spans="2:48" s="290" customFormat="1" ht="14" thickBot="1">
      <c r="B31" s="289"/>
      <c r="C31" s="996"/>
      <c r="D31" s="997" t="str">
        <f>"Total "&amp;C26</f>
        <v>Total Product 3</v>
      </c>
      <c r="E31" s="998"/>
      <c r="F31" s="294"/>
      <c r="G31" s="991">
        <f>SUM(G27:G30)</f>
        <v>0</v>
      </c>
      <c r="H31" s="991">
        <f t="shared" ref="H31:Q31" si="9">SUM(H27:H30)</f>
        <v>0</v>
      </c>
      <c r="I31" s="991">
        <f t="shared" si="9"/>
        <v>0</v>
      </c>
      <c r="J31" s="991">
        <f t="shared" si="9"/>
        <v>0</v>
      </c>
      <c r="K31" s="991">
        <f t="shared" si="9"/>
        <v>0</v>
      </c>
      <c r="L31" s="991">
        <f t="shared" si="9"/>
        <v>0</v>
      </c>
      <c r="M31" s="991">
        <f t="shared" si="9"/>
        <v>0</v>
      </c>
      <c r="N31" s="991">
        <f t="shared" si="9"/>
        <v>0</v>
      </c>
      <c r="O31" s="991">
        <f t="shared" si="9"/>
        <v>0</v>
      </c>
      <c r="P31" s="991">
        <f t="shared" si="9"/>
        <v>0</v>
      </c>
      <c r="Q31" s="991">
        <f t="shared" si="9"/>
        <v>0</v>
      </c>
      <c r="R31" s="991">
        <f>SUM(R27:R30)</f>
        <v>0</v>
      </c>
      <c r="S31" s="992">
        <f>SUM(G31:R31)</f>
        <v>0</v>
      </c>
      <c r="T31" s="295"/>
      <c r="U31" s="991">
        <f>SUM(U27:U30)</f>
        <v>0</v>
      </c>
      <c r="V31" s="991">
        <f>SUM(V27:V30)</f>
        <v>0</v>
      </c>
      <c r="W31" s="991">
        <f t="shared" ref="W31:AE31" si="10">SUM(W27:W30)</f>
        <v>0</v>
      </c>
      <c r="X31" s="991">
        <f t="shared" si="10"/>
        <v>0</v>
      </c>
      <c r="Y31" s="991">
        <f t="shared" si="10"/>
        <v>0</v>
      </c>
      <c r="Z31" s="991">
        <f t="shared" si="10"/>
        <v>0</v>
      </c>
      <c r="AA31" s="991">
        <f t="shared" si="10"/>
        <v>0</v>
      </c>
      <c r="AB31" s="991">
        <f t="shared" si="10"/>
        <v>0</v>
      </c>
      <c r="AC31" s="991">
        <f t="shared" si="10"/>
        <v>0</v>
      </c>
      <c r="AD31" s="991">
        <f t="shared" si="10"/>
        <v>0</v>
      </c>
      <c r="AE31" s="991">
        <f t="shared" si="10"/>
        <v>0</v>
      </c>
      <c r="AF31" s="991">
        <f>SUM(AF27:AF30)</f>
        <v>0</v>
      </c>
      <c r="AG31" s="992">
        <f>SUM(U31:AF31)</f>
        <v>0</v>
      </c>
      <c r="AI31" s="991">
        <f>SUM(AI27:AI30)</f>
        <v>0</v>
      </c>
      <c r="AJ31" s="991">
        <f t="shared" ref="AJ31:AS31" si="11">SUM(AJ27:AJ30)</f>
        <v>0</v>
      </c>
      <c r="AK31" s="991">
        <f t="shared" si="11"/>
        <v>0</v>
      </c>
      <c r="AL31" s="991">
        <f t="shared" si="11"/>
        <v>0</v>
      </c>
      <c r="AM31" s="991">
        <f t="shared" si="11"/>
        <v>0</v>
      </c>
      <c r="AN31" s="991">
        <f t="shared" si="11"/>
        <v>0</v>
      </c>
      <c r="AO31" s="991">
        <f t="shared" si="11"/>
        <v>0</v>
      </c>
      <c r="AP31" s="991">
        <f t="shared" si="11"/>
        <v>0</v>
      </c>
      <c r="AQ31" s="991">
        <f t="shared" si="11"/>
        <v>0</v>
      </c>
      <c r="AR31" s="991">
        <f t="shared" si="11"/>
        <v>0</v>
      </c>
      <c r="AS31" s="991">
        <f t="shared" si="11"/>
        <v>0</v>
      </c>
      <c r="AT31" s="991">
        <f>SUM(AT27:AT30)</f>
        <v>0</v>
      </c>
      <c r="AU31" s="992">
        <f>SUM(AI31:AT31)</f>
        <v>0</v>
      </c>
      <c r="AV31" s="291"/>
    </row>
    <row r="32" spans="2:48" s="290" customFormat="1" ht="14" thickBot="1">
      <c r="B32" s="289"/>
      <c r="C32" s="296"/>
      <c r="D32" s="297"/>
      <c r="E32" s="298"/>
      <c r="F32" s="294"/>
      <c r="G32" s="299"/>
      <c r="H32" s="299"/>
      <c r="I32" s="299"/>
      <c r="J32" s="299"/>
      <c r="K32" s="299"/>
      <c r="L32" s="299"/>
      <c r="M32" s="299"/>
      <c r="N32" s="299"/>
      <c r="O32" s="299"/>
      <c r="P32" s="299"/>
      <c r="Q32" s="299"/>
      <c r="R32" s="299"/>
      <c r="S32" s="300"/>
      <c r="T32" s="295"/>
      <c r="U32" s="299"/>
      <c r="V32" s="299"/>
      <c r="W32" s="299"/>
      <c r="X32" s="299"/>
      <c r="Y32" s="299"/>
      <c r="Z32" s="299"/>
      <c r="AA32" s="299"/>
      <c r="AB32" s="299"/>
      <c r="AC32" s="299"/>
      <c r="AD32" s="299"/>
      <c r="AE32" s="299"/>
      <c r="AF32" s="299"/>
      <c r="AG32" s="300"/>
      <c r="AI32" s="299"/>
      <c r="AJ32" s="299"/>
      <c r="AK32" s="299"/>
      <c r="AL32" s="299"/>
      <c r="AM32" s="299"/>
      <c r="AN32" s="299"/>
      <c r="AO32" s="299"/>
      <c r="AP32" s="299"/>
      <c r="AQ32" s="299"/>
      <c r="AR32" s="299"/>
      <c r="AS32" s="299"/>
      <c r="AT32" s="299"/>
      <c r="AU32" s="300"/>
      <c r="AV32" s="291"/>
    </row>
    <row r="33" spans="2:48" s="290" customFormat="1" ht="17" customHeight="1">
      <c r="B33" s="289"/>
      <c r="C33" s="995" t="str">
        <f>Parameter!D12</f>
        <v>Product 4</v>
      </c>
      <c r="D33" s="988"/>
      <c r="E33" s="989"/>
      <c r="F33" s="226"/>
      <c r="G33" s="306"/>
      <c r="H33" s="306"/>
      <c r="I33" s="306"/>
      <c r="J33" s="306"/>
      <c r="K33" s="306"/>
      <c r="L33" s="306"/>
      <c r="M33" s="306"/>
      <c r="N33" s="306"/>
      <c r="O33" s="306"/>
      <c r="P33" s="306"/>
      <c r="Q33" s="306"/>
      <c r="R33" s="306"/>
      <c r="S33" s="306"/>
      <c r="T33" s="196"/>
      <c r="U33" s="306"/>
      <c r="V33" s="306"/>
      <c r="W33" s="306"/>
      <c r="X33" s="306"/>
      <c r="Y33" s="306"/>
      <c r="Z33" s="306"/>
      <c r="AA33" s="306"/>
      <c r="AB33" s="306"/>
      <c r="AC33" s="306"/>
      <c r="AD33" s="306"/>
      <c r="AE33" s="306"/>
      <c r="AF33" s="306"/>
      <c r="AG33" s="306"/>
      <c r="AI33" s="306"/>
      <c r="AJ33" s="306"/>
      <c r="AK33" s="306"/>
      <c r="AL33" s="306"/>
      <c r="AM33" s="306"/>
      <c r="AN33" s="306"/>
      <c r="AO33" s="306"/>
      <c r="AP33" s="306"/>
      <c r="AQ33" s="306"/>
      <c r="AR33" s="306"/>
      <c r="AS33" s="306"/>
      <c r="AT33" s="306"/>
      <c r="AU33" s="306"/>
      <c r="AV33" s="291"/>
    </row>
    <row r="34" spans="2:48" s="290" customFormat="1">
      <c r="B34" s="289"/>
      <c r="C34" s="1017"/>
      <c r="D34" s="1274"/>
      <c r="E34" s="1275"/>
      <c r="F34" s="294"/>
      <c r="G34" s="1022"/>
      <c r="H34" s="1022"/>
      <c r="I34" s="1022"/>
      <c r="J34" s="1022"/>
      <c r="K34" s="1022"/>
      <c r="L34" s="1022"/>
      <c r="M34" s="1022"/>
      <c r="N34" s="1022"/>
      <c r="O34" s="1022"/>
      <c r="P34" s="1022"/>
      <c r="Q34" s="1022"/>
      <c r="R34" s="1022"/>
      <c r="S34" s="1023">
        <f t="shared" ref="S34:S39" si="12">SUM(G34:R34)</f>
        <v>0</v>
      </c>
      <c r="T34" s="305"/>
      <c r="U34" s="1022">
        <v>0</v>
      </c>
      <c r="V34" s="1022">
        <v>0</v>
      </c>
      <c r="W34" s="1022">
        <v>0</v>
      </c>
      <c r="X34" s="1022">
        <v>0</v>
      </c>
      <c r="Y34" s="1022">
        <v>0</v>
      </c>
      <c r="Z34" s="1022">
        <v>0</v>
      </c>
      <c r="AA34" s="1022">
        <v>0</v>
      </c>
      <c r="AB34" s="1022">
        <v>0</v>
      </c>
      <c r="AC34" s="1022">
        <v>0</v>
      </c>
      <c r="AD34" s="1022">
        <v>0</v>
      </c>
      <c r="AE34" s="1022">
        <v>0</v>
      </c>
      <c r="AF34" s="1022">
        <v>0</v>
      </c>
      <c r="AG34" s="1023">
        <f t="shared" ref="AG34:AG39" si="13">SUM(U34:AF34)</f>
        <v>0</v>
      </c>
      <c r="AI34" s="1022">
        <v>0</v>
      </c>
      <c r="AJ34" s="1022">
        <v>0</v>
      </c>
      <c r="AK34" s="1022">
        <v>0</v>
      </c>
      <c r="AL34" s="1022">
        <v>0</v>
      </c>
      <c r="AM34" s="1022">
        <v>0</v>
      </c>
      <c r="AN34" s="1022">
        <v>0</v>
      </c>
      <c r="AO34" s="1022">
        <v>0</v>
      </c>
      <c r="AP34" s="1022">
        <v>0</v>
      </c>
      <c r="AQ34" s="1022">
        <v>0</v>
      </c>
      <c r="AR34" s="1022">
        <v>0</v>
      </c>
      <c r="AS34" s="1022">
        <v>0</v>
      </c>
      <c r="AT34" s="1022">
        <v>0</v>
      </c>
      <c r="AU34" s="1023">
        <f t="shared" ref="AU34:AU39" si="14">SUM(AI34:AT34)</f>
        <v>0</v>
      </c>
      <c r="AV34" s="291"/>
    </row>
    <row r="35" spans="2:48" s="290" customFormat="1">
      <c r="B35" s="289"/>
      <c r="C35" s="1017"/>
      <c r="D35" s="1274"/>
      <c r="E35" s="1275"/>
      <c r="F35" s="294"/>
      <c r="G35" s="1020"/>
      <c r="H35" s="1020"/>
      <c r="I35" s="1020"/>
      <c r="J35" s="1020"/>
      <c r="K35" s="1020"/>
      <c r="L35" s="1020"/>
      <c r="M35" s="1020"/>
      <c r="N35" s="1020"/>
      <c r="O35" s="1020"/>
      <c r="P35" s="1020"/>
      <c r="Q35" s="1020"/>
      <c r="R35" s="1020"/>
      <c r="S35" s="308">
        <f t="shared" si="12"/>
        <v>0</v>
      </c>
      <c r="T35" s="305"/>
      <c r="U35" s="1020"/>
      <c r="V35" s="1020"/>
      <c r="W35" s="1020"/>
      <c r="X35" s="1020"/>
      <c r="Y35" s="1020"/>
      <c r="Z35" s="1020"/>
      <c r="AA35" s="1020"/>
      <c r="AB35" s="1020"/>
      <c r="AC35" s="1020"/>
      <c r="AD35" s="1020"/>
      <c r="AE35" s="1020"/>
      <c r="AF35" s="1020"/>
      <c r="AG35" s="308">
        <f t="shared" si="13"/>
        <v>0</v>
      </c>
      <c r="AI35" s="1020"/>
      <c r="AJ35" s="1020"/>
      <c r="AK35" s="1020"/>
      <c r="AL35" s="1020"/>
      <c r="AM35" s="1020"/>
      <c r="AN35" s="1020"/>
      <c r="AO35" s="1020"/>
      <c r="AP35" s="1020"/>
      <c r="AQ35" s="1020"/>
      <c r="AR35" s="1020"/>
      <c r="AS35" s="1020"/>
      <c r="AT35" s="1020"/>
      <c r="AU35" s="308">
        <f t="shared" si="14"/>
        <v>0</v>
      </c>
      <c r="AV35" s="291"/>
    </row>
    <row r="36" spans="2:48" s="290" customFormat="1">
      <c r="B36" s="289"/>
      <c r="C36" s="1017"/>
      <c r="D36" s="1274"/>
      <c r="E36" s="1275"/>
      <c r="F36" s="294"/>
      <c r="G36" s="1020"/>
      <c r="H36" s="1020"/>
      <c r="I36" s="1020"/>
      <c r="J36" s="1020"/>
      <c r="K36" s="1020"/>
      <c r="L36" s="1020"/>
      <c r="M36" s="1020"/>
      <c r="N36" s="1020"/>
      <c r="O36" s="1020"/>
      <c r="P36" s="1020"/>
      <c r="Q36" s="1020"/>
      <c r="R36" s="1020"/>
      <c r="S36" s="308">
        <f t="shared" si="12"/>
        <v>0</v>
      </c>
      <c r="T36" s="305"/>
      <c r="U36" s="1020"/>
      <c r="V36" s="1020"/>
      <c r="W36" s="1020"/>
      <c r="X36" s="1020"/>
      <c r="Y36" s="1020"/>
      <c r="Z36" s="1020"/>
      <c r="AA36" s="1020"/>
      <c r="AB36" s="1020"/>
      <c r="AC36" s="1020"/>
      <c r="AD36" s="1020"/>
      <c r="AE36" s="1020"/>
      <c r="AF36" s="1020"/>
      <c r="AG36" s="308">
        <f t="shared" si="13"/>
        <v>0</v>
      </c>
      <c r="AI36" s="1020"/>
      <c r="AJ36" s="1020"/>
      <c r="AK36" s="1020"/>
      <c r="AL36" s="1020"/>
      <c r="AM36" s="1020"/>
      <c r="AN36" s="1020"/>
      <c r="AO36" s="1020"/>
      <c r="AP36" s="1020"/>
      <c r="AQ36" s="1020"/>
      <c r="AR36" s="1020"/>
      <c r="AS36" s="1020"/>
      <c r="AT36" s="1020"/>
      <c r="AU36" s="308">
        <f t="shared" si="14"/>
        <v>0</v>
      </c>
      <c r="AV36" s="291"/>
    </row>
    <row r="37" spans="2:48" s="290" customFormat="1">
      <c r="B37" s="289"/>
      <c r="C37" s="1017"/>
      <c r="D37" s="1274"/>
      <c r="E37" s="1275"/>
      <c r="F37" s="294"/>
      <c r="G37" s="1020"/>
      <c r="H37" s="1020"/>
      <c r="I37" s="1020"/>
      <c r="J37" s="1020"/>
      <c r="K37" s="1020"/>
      <c r="L37" s="1020"/>
      <c r="M37" s="1020"/>
      <c r="N37" s="1020"/>
      <c r="O37" s="1020"/>
      <c r="P37" s="1020"/>
      <c r="Q37" s="1020"/>
      <c r="R37" s="1020"/>
      <c r="S37" s="308">
        <f t="shared" si="12"/>
        <v>0</v>
      </c>
      <c r="T37" s="305"/>
      <c r="U37" s="1020"/>
      <c r="V37" s="1020"/>
      <c r="W37" s="1020"/>
      <c r="X37" s="1020"/>
      <c r="Y37" s="1020"/>
      <c r="Z37" s="1020"/>
      <c r="AA37" s="1020"/>
      <c r="AB37" s="1020"/>
      <c r="AC37" s="1020"/>
      <c r="AD37" s="1020"/>
      <c r="AE37" s="1020"/>
      <c r="AF37" s="1020"/>
      <c r="AG37" s="308">
        <f t="shared" si="13"/>
        <v>0</v>
      </c>
      <c r="AI37" s="1020"/>
      <c r="AJ37" s="1020"/>
      <c r="AK37" s="1020"/>
      <c r="AL37" s="1020"/>
      <c r="AM37" s="1020"/>
      <c r="AN37" s="1020"/>
      <c r="AO37" s="1020"/>
      <c r="AP37" s="1020"/>
      <c r="AQ37" s="1020"/>
      <c r="AR37" s="1020"/>
      <c r="AS37" s="1020"/>
      <c r="AT37" s="1020"/>
      <c r="AU37" s="308">
        <f t="shared" si="14"/>
        <v>0</v>
      </c>
      <c r="AV37" s="291"/>
    </row>
    <row r="38" spans="2:48" s="290" customFormat="1" ht="14" thickBot="1">
      <c r="B38" s="289"/>
      <c r="C38" s="1017"/>
      <c r="D38" s="1274"/>
      <c r="E38" s="1275"/>
      <c r="F38" s="294"/>
      <c r="G38" s="1020"/>
      <c r="H38" s="1020"/>
      <c r="I38" s="1020"/>
      <c r="J38" s="1020"/>
      <c r="K38" s="1020"/>
      <c r="L38" s="1020"/>
      <c r="M38" s="1020"/>
      <c r="N38" s="1020"/>
      <c r="O38" s="1020"/>
      <c r="P38" s="1020"/>
      <c r="Q38" s="1020"/>
      <c r="R38" s="1020"/>
      <c r="S38" s="308">
        <f>SUM(G38:R38)</f>
        <v>0</v>
      </c>
      <c r="T38" s="305"/>
      <c r="U38" s="1020"/>
      <c r="V38" s="1020"/>
      <c r="W38" s="1020"/>
      <c r="X38" s="1020"/>
      <c r="Y38" s="1020"/>
      <c r="Z38" s="1020"/>
      <c r="AA38" s="1020"/>
      <c r="AB38" s="1020"/>
      <c r="AC38" s="1020"/>
      <c r="AD38" s="1020"/>
      <c r="AE38" s="1020"/>
      <c r="AF38" s="1020"/>
      <c r="AG38" s="308">
        <f t="shared" si="13"/>
        <v>0</v>
      </c>
      <c r="AI38" s="1020"/>
      <c r="AJ38" s="1020"/>
      <c r="AK38" s="1020"/>
      <c r="AL38" s="1020"/>
      <c r="AM38" s="1020"/>
      <c r="AN38" s="1020"/>
      <c r="AO38" s="1020"/>
      <c r="AP38" s="1020"/>
      <c r="AQ38" s="1020"/>
      <c r="AR38" s="1020"/>
      <c r="AS38" s="1020"/>
      <c r="AT38" s="1020"/>
      <c r="AU38" s="308">
        <f t="shared" si="14"/>
        <v>0</v>
      </c>
      <c r="AV38" s="291"/>
    </row>
    <row r="39" spans="2:48" s="290" customFormat="1" ht="14" thickBot="1">
      <c r="B39" s="289"/>
      <c r="C39" s="996"/>
      <c r="D39" s="997" t="str">
        <f>"Total "&amp;C33</f>
        <v>Total Product 4</v>
      </c>
      <c r="E39" s="998"/>
      <c r="F39" s="294"/>
      <c r="G39" s="991">
        <f t="shared" ref="G39:L39" si="15">SUM(G34:G38)</f>
        <v>0</v>
      </c>
      <c r="H39" s="991">
        <f t="shared" si="15"/>
        <v>0</v>
      </c>
      <c r="I39" s="991">
        <f t="shared" si="15"/>
        <v>0</v>
      </c>
      <c r="J39" s="991">
        <f t="shared" si="15"/>
        <v>0</v>
      </c>
      <c r="K39" s="991">
        <f t="shared" si="15"/>
        <v>0</v>
      </c>
      <c r="L39" s="991">
        <f t="shared" si="15"/>
        <v>0</v>
      </c>
      <c r="M39" s="991">
        <f t="shared" ref="M39:R39" si="16">SUM(M34:M38)</f>
        <v>0</v>
      </c>
      <c r="N39" s="991">
        <f t="shared" si="16"/>
        <v>0</v>
      </c>
      <c r="O39" s="991">
        <f t="shared" si="16"/>
        <v>0</v>
      </c>
      <c r="P39" s="991">
        <f t="shared" si="16"/>
        <v>0</v>
      </c>
      <c r="Q39" s="991">
        <f t="shared" si="16"/>
        <v>0</v>
      </c>
      <c r="R39" s="991">
        <f t="shared" si="16"/>
        <v>0</v>
      </c>
      <c r="S39" s="992">
        <f t="shared" si="12"/>
        <v>0</v>
      </c>
      <c r="T39" s="295"/>
      <c r="U39" s="991">
        <f>SUM(U34:U38)</f>
        <v>0</v>
      </c>
      <c r="V39" s="991">
        <f>SUM(V34:V38)</f>
        <v>0</v>
      </c>
      <c r="W39" s="991">
        <f>SUM(W34:W38)</f>
        <v>0</v>
      </c>
      <c r="X39" s="991">
        <f>SUM(X34:X38)</f>
        <v>0</v>
      </c>
      <c r="Y39" s="991">
        <f t="shared" ref="Y39:AF39" si="17">SUM(Y34:Y38)</f>
        <v>0</v>
      </c>
      <c r="Z39" s="991">
        <f t="shared" si="17"/>
        <v>0</v>
      </c>
      <c r="AA39" s="991">
        <f t="shared" si="17"/>
        <v>0</v>
      </c>
      <c r="AB39" s="991">
        <f t="shared" si="17"/>
        <v>0</v>
      </c>
      <c r="AC39" s="991">
        <f t="shared" si="17"/>
        <v>0</v>
      </c>
      <c r="AD39" s="991">
        <f t="shared" si="17"/>
        <v>0</v>
      </c>
      <c r="AE39" s="991">
        <f t="shared" si="17"/>
        <v>0</v>
      </c>
      <c r="AF39" s="991">
        <f t="shared" si="17"/>
        <v>0</v>
      </c>
      <c r="AG39" s="992">
        <f t="shared" si="13"/>
        <v>0</v>
      </c>
      <c r="AI39" s="991">
        <f>SUM(AI34:AI38)</f>
        <v>0</v>
      </c>
      <c r="AJ39" s="991">
        <f>SUM(AJ34:AJ38)</f>
        <v>0</v>
      </c>
      <c r="AK39" s="991">
        <f>SUM(AK34:AK38)</f>
        <v>0</v>
      </c>
      <c r="AL39" s="991">
        <f>SUM(AL34:AL38)</f>
        <v>0</v>
      </c>
      <c r="AM39" s="991">
        <f t="shared" ref="AM39:AT39" si="18">SUM(AM34:AM38)</f>
        <v>0</v>
      </c>
      <c r="AN39" s="991">
        <f t="shared" si="18"/>
        <v>0</v>
      </c>
      <c r="AO39" s="991">
        <f t="shared" si="18"/>
        <v>0</v>
      </c>
      <c r="AP39" s="991">
        <f t="shared" si="18"/>
        <v>0</v>
      </c>
      <c r="AQ39" s="991">
        <f t="shared" si="18"/>
        <v>0</v>
      </c>
      <c r="AR39" s="991">
        <f t="shared" si="18"/>
        <v>0</v>
      </c>
      <c r="AS39" s="991">
        <f t="shared" si="18"/>
        <v>0</v>
      </c>
      <c r="AT39" s="991">
        <f t="shared" si="18"/>
        <v>0</v>
      </c>
      <c r="AU39" s="992">
        <f t="shared" si="14"/>
        <v>0</v>
      </c>
      <c r="AV39" s="291"/>
    </row>
    <row r="40" spans="2:48" s="290" customFormat="1" ht="14" thickBot="1">
      <c r="B40" s="289"/>
      <c r="C40" s="296"/>
      <c r="D40" s="297"/>
      <c r="E40" s="298"/>
      <c r="F40" s="294"/>
      <c r="G40" s="299"/>
      <c r="H40" s="299"/>
      <c r="I40" s="299"/>
      <c r="J40" s="299"/>
      <c r="K40" s="299"/>
      <c r="L40" s="299"/>
      <c r="M40" s="299"/>
      <c r="N40" s="299"/>
      <c r="O40" s="299"/>
      <c r="P40" s="299"/>
      <c r="Q40" s="299"/>
      <c r="R40" s="299"/>
      <c r="S40" s="300"/>
      <c r="T40" s="295"/>
      <c r="U40" s="299"/>
      <c r="V40" s="299"/>
      <c r="W40" s="299"/>
      <c r="X40" s="299"/>
      <c r="Y40" s="299"/>
      <c r="Z40" s="299"/>
      <c r="AA40" s="299"/>
      <c r="AB40" s="299"/>
      <c r="AC40" s="299"/>
      <c r="AD40" s="299"/>
      <c r="AE40" s="299"/>
      <c r="AF40" s="299"/>
      <c r="AG40" s="300"/>
      <c r="AI40" s="299"/>
      <c r="AJ40" s="299"/>
      <c r="AK40" s="299"/>
      <c r="AL40" s="299"/>
      <c r="AM40" s="299"/>
      <c r="AN40" s="299"/>
      <c r="AO40" s="299"/>
      <c r="AP40" s="299"/>
      <c r="AQ40" s="299"/>
      <c r="AR40" s="299"/>
      <c r="AS40" s="299"/>
      <c r="AT40" s="299"/>
      <c r="AU40" s="300"/>
      <c r="AV40" s="291"/>
    </row>
    <row r="41" spans="2:48" s="290" customFormat="1" ht="17" customHeight="1">
      <c r="B41" s="289"/>
      <c r="C41" s="995" t="str">
        <f>Parameter!D13</f>
        <v>Product 5</v>
      </c>
      <c r="D41" s="988"/>
      <c r="E41" s="989"/>
      <c r="F41" s="226"/>
      <c r="G41" s="306"/>
      <c r="H41" s="306"/>
      <c r="I41" s="306"/>
      <c r="J41" s="306"/>
      <c r="K41" s="306"/>
      <c r="L41" s="306"/>
      <c r="M41" s="306"/>
      <c r="N41" s="306"/>
      <c r="O41" s="306"/>
      <c r="P41" s="306"/>
      <c r="Q41" s="306"/>
      <c r="R41" s="306"/>
      <c r="S41" s="306"/>
      <c r="T41" s="196"/>
      <c r="U41" s="306"/>
      <c r="V41" s="306"/>
      <c r="W41" s="306"/>
      <c r="X41" s="306"/>
      <c r="Y41" s="306"/>
      <c r="Z41" s="306"/>
      <c r="AA41" s="306"/>
      <c r="AB41" s="306"/>
      <c r="AC41" s="306"/>
      <c r="AD41" s="306"/>
      <c r="AE41" s="306"/>
      <c r="AF41" s="306"/>
      <c r="AG41" s="306"/>
      <c r="AI41" s="306"/>
      <c r="AJ41" s="306"/>
      <c r="AK41" s="306"/>
      <c r="AL41" s="306"/>
      <c r="AM41" s="306"/>
      <c r="AN41" s="306"/>
      <c r="AO41" s="306"/>
      <c r="AP41" s="306"/>
      <c r="AQ41" s="306"/>
      <c r="AR41" s="306"/>
      <c r="AS41" s="306"/>
      <c r="AT41" s="306"/>
      <c r="AU41" s="306"/>
      <c r="AV41" s="291"/>
    </row>
    <row r="42" spans="2:48" s="290" customFormat="1">
      <c r="B42" s="289"/>
      <c r="C42" s="1017"/>
      <c r="D42" s="1274"/>
      <c r="E42" s="1275"/>
      <c r="F42" s="294"/>
      <c r="G42" s="1022"/>
      <c r="H42" s="1022"/>
      <c r="I42" s="1022"/>
      <c r="J42" s="1022"/>
      <c r="K42" s="1022"/>
      <c r="L42" s="1022"/>
      <c r="M42" s="1022"/>
      <c r="N42" s="1022"/>
      <c r="O42" s="1022"/>
      <c r="P42" s="1022"/>
      <c r="Q42" s="1022"/>
      <c r="R42" s="1022"/>
      <c r="S42" s="1023">
        <f>SUM(G42:R42)</f>
        <v>0</v>
      </c>
      <c r="T42" s="305"/>
      <c r="U42" s="1022"/>
      <c r="V42" s="1022"/>
      <c r="W42" s="1022"/>
      <c r="X42" s="1022"/>
      <c r="Y42" s="1022"/>
      <c r="Z42" s="1022"/>
      <c r="AA42" s="1022"/>
      <c r="AB42" s="1022"/>
      <c r="AC42" s="1022"/>
      <c r="AD42" s="1022"/>
      <c r="AE42" s="1022"/>
      <c r="AF42" s="1022"/>
      <c r="AG42" s="1023">
        <f>SUM(U42:AF42)</f>
        <v>0</v>
      </c>
      <c r="AI42" s="1022"/>
      <c r="AJ42" s="1022"/>
      <c r="AK42" s="1022"/>
      <c r="AL42" s="1022"/>
      <c r="AM42" s="1022"/>
      <c r="AN42" s="1022"/>
      <c r="AO42" s="1022"/>
      <c r="AP42" s="1022"/>
      <c r="AQ42" s="1022"/>
      <c r="AR42" s="1022"/>
      <c r="AS42" s="1022"/>
      <c r="AT42" s="1022"/>
      <c r="AU42" s="1023">
        <f>SUM(AI42:AT42)</f>
        <v>0</v>
      </c>
      <c r="AV42" s="291"/>
    </row>
    <row r="43" spans="2:48" s="290" customFormat="1">
      <c r="B43" s="289"/>
      <c r="C43" s="1017"/>
      <c r="D43" s="1274"/>
      <c r="E43" s="1275"/>
      <c r="F43" s="294"/>
      <c r="G43" s="1020"/>
      <c r="H43" s="1020"/>
      <c r="I43" s="1020"/>
      <c r="J43" s="1020"/>
      <c r="K43" s="1020"/>
      <c r="L43" s="1020"/>
      <c r="M43" s="1020"/>
      <c r="N43" s="1020"/>
      <c r="O43" s="1020"/>
      <c r="P43" s="1020"/>
      <c r="Q43" s="1020"/>
      <c r="R43" s="1020"/>
      <c r="S43" s="308">
        <f>SUM(G43:R43)</f>
        <v>0</v>
      </c>
      <c r="T43" s="305"/>
      <c r="U43" s="1020"/>
      <c r="V43" s="1020"/>
      <c r="W43" s="1020"/>
      <c r="X43" s="1020"/>
      <c r="Y43" s="1020"/>
      <c r="Z43" s="1020"/>
      <c r="AA43" s="1020"/>
      <c r="AB43" s="1020"/>
      <c r="AC43" s="1020"/>
      <c r="AD43" s="1020"/>
      <c r="AE43" s="1020"/>
      <c r="AF43" s="1020"/>
      <c r="AG43" s="308">
        <f>SUM(U43:AF43)</f>
        <v>0</v>
      </c>
      <c r="AI43" s="1020"/>
      <c r="AJ43" s="1020"/>
      <c r="AK43" s="1020"/>
      <c r="AL43" s="1020"/>
      <c r="AM43" s="1020"/>
      <c r="AN43" s="1020"/>
      <c r="AO43" s="1020"/>
      <c r="AP43" s="1020"/>
      <c r="AQ43" s="1020"/>
      <c r="AR43" s="1020"/>
      <c r="AS43" s="1020"/>
      <c r="AT43" s="1020"/>
      <c r="AU43" s="308">
        <f>SUM(AI43:AT43)</f>
        <v>0</v>
      </c>
      <c r="AV43" s="291"/>
    </row>
    <row r="44" spans="2:48" s="290" customFormat="1" ht="14" thickBot="1">
      <c r="B44" s="289"/>
      <c r="C44" s="1017"/>
      <c r="D44" s="1274"/>
      <c r="E44" s="1275"/>
      <c r="F44" s="294"/>
      <c r="G44" s="1020"/>
      <c r="H44" s="1020"/>
      <c r="I44" s="1020"/>
      <c r="J44" s="1020"/>
      <c r="K44" s="1020"/>
      <c r="L44" s="1020"/>
      <c r="M44" s="1020"/>
      <c r="N44" s="1020"/>
      <c r="O44" s="1020"/>
      <c r="P44" s="1020"/>
      <c r="Q44" s="1020"/>
      <c r="R44" s="1020"/>
      <c r="S44" s="308">
        <f>SUM(G44:R44)</f>
        <v>0</v>
      </c>
      <c r="T44" s="305"/>
      <c r="U44" s="1020"/>
      <c r="V44" s="1020"/>
      <c r="W44" s="1020"/>
      <c r="X44" s="1020"/>
      <c r="Y44" s="1020"/>
      <c r="Z44" s="1020"/>
      <c r="AA44" s="1020"/>
      <c r="AB44" s="1020"/>
      <c r="AC44" s="1020"/>
      <c r="AD44" s="1020"/>
      <c r="AE44" s="1020"/>
      <c r="AF44" s="1020"/>
      <c r="AG44" s="308">
        <f>SUM(U44:AF44)</f>
        <v>0</v>
      </c>
      <c r="AI44" s="1020"/>
      <c r="AJ44" s="1020"/>
      <c r="AK44" s="1020"/>
      <c r="AL44" s="1020"/>
      <c r="AM44" s="1020"/>
      <c r="AN44" s="1020"/>
      <c r="AO44" s="1020"/>
      <c r="AP44" s="1020"/>
      <c r="AQ44" s="1020"/>
      <c r="AR44" s="1020"/>
      <c r="AS44" s="1020"/>
      <c r="AT44" s="1020"/>
      <c r="AU44" s="308">
        <f>SUM(AI44:AT44)</f>
        <v>0</v>
      </c>
      <c r="AV44" s="291"/>
    </row>
    <row r="45" spans="2:48" s="290" customFormat="1" ht="14" thickBot="1">
      <c r="B45" s="289"/>
      <c r="C45" s="996"/>
      <c r="D45" s="997" t="str">
        <f>"Total "&amp;C41</f>
        <v>Total Product 5</v>
      </c>
      <c r="E45" s="998"/>
      <c r="F45" s="294"/>
      <c r="G45" s="991">
        <f>SUM(G42:G44)</f>
        <v>0</v>
      </c>
      <c r="H45" s="991">
        <f t="shared" ref="H45:M45" si="19">SUM(H42:H44)</f>
        <v>0</v>
      </c>
      <c r="I45" s="991">
        <f t="shared" si="19"/>
        <v>0</v>
      </c>
      <c r="J45" s="991">
        <f t="shared" si="19"/>
        <v>0</v>
      </c>
      <c r="K45" s="991">
        <f t="shared" si="19"/>
        <v>0</v>
      </c>
      <c r="L45" s="991">
        <f t="shared" si="19"/>
        <v>0</v>
      </c>
      <c r="M45" s="991">
        <f t="shared" si="19"/>
        <v>0</v>
      </c>
      <c r="N45" s="991">
        <f>SUM(N42:N44)</f>
        <v>0</v>
      </c>
      <c r="O45" s="991">
        <f>SUM(O42:O44)</f>
        <v>0</v>
      </c>
      <c r="P45" s="991">
        <f>SUM(P42:P44)</f>
        <v>0</v>
      </c>
      <c r="Q45" s="991">
        <f>SUM(Q42:Q44)</f>
        <v>0</v>
      </c>
      <c r="R45" s="991">
        <f>SUM(R42:R44)</f>
        <v>0</v>
      </c>
      <c r="S45" s="992">
        <f>SUM(G45:R45)</f>
        <v>0</v>
      </c>
      <c r="T45" s="295"/>
      <c r="U45" s="991">
        <f>SUM(U42:U44)</f>
        <v>0</v>
      </c>
      <c r="V45" s="991">
        <f t="shared" ref="V45:AA45" si="20">SUM(V42:V44)</f>
        <v>0</v>
      </c>
      <c r="W45" s="991">
        <f t="shared" si="20"/>
        <v>0</v>
      </c>
      <c r="X45" s="991">
        <f t="shared" si="20"/>
        <v>0</v>
      </c>
      <c r="Y45" s="991">
        <f t="shared" si="20"/>
        <v>0</v>
      </c>
      <c r="Z45" s="991">
        <f t="shared" si="20"/>
        <v>0</v>
      </c>
      <c r="AA45" s="991">
        <f t="shared" si="20"/>
        <v>0</v>
      </c>
      <c r="AB45" s="991">
        <f>SUM(AB42:AB44)</f>
        <v>0</v>
      </c>
      <c r="AC45" s="991">
        <f>SUM(AC42:AC44)</f>
        <v>0</v>
      </c>
      <c r="AD45" s="991">
        <f>SUM(AD42:AD44)</f>
        <v>0</v>
      </c>
      <c r="AE45" s="991">
        <f>SUM(AE42:AE44)</f>
        <v>0</v>
      </c>
      <c r="AF45" s="991">
        <f>SUM(AF42:AF44)</f>
        <v>0</v>
      </c>
      <c r="AG45" s="992">
        <f>SUM(U45:AF45)</f>
        <v>0</v>
      </c>
      <c r="AI45" s="991">
        <f>SUM(AI42:AI44)</f>
        <v>0</v>
      </c>
      <c r="AJ45" s="991">
        <f t="shared" ref="AJ45:AO45" si="21">SUM(AJ42:AJ44)</f>
        <v>0</v>
      </c>
      <c r="AK45" s="991">
        <f t="shared" si="21"/>
        <v>0</v>
      </c>
      <c r="AL45" s="991">
        <f t="shared" si="21"/>
        <v>0</v>
      </c>
      <c r="AM45" s="991">
        <f t="shared" si="21"/>
        <v>0</v>
      </c>
      <c r="AN45" s="991">
        <f t="shared" si="21"/>
        <v>0</v>
      </c>
      <c r="AO45" s="991">
        <f t="shared" si="21"/>
        <v>0</v>
      </c>
      <c r="AP45" s="991">
        <f>SUM(AP42:AP44)</f>
        <v>0</v>
      </c>
      <c r="AQ45" s="991">
        <f>SUM(AQ42:AQ44)</f>
        <v>0</v>
      </c>
      <c r="AR45" s="991">
        <f>SUM(AR42:AR44)</f>
        <v>0</v>
      </c>
      <c r="AS45" s="991">
        <f>SUM(AS42:AS44)</f>
        <v>0</v>
      </c>
      <c r="AT45" s="991">
        <f>SUM(AT42:AT44)</f>
        <v>0</v>
      </c>
      <c r="AU45" s="992">
        <f>SUM(AI45:AT45)</f>
        <v>0</v>
      </c>
      <c r="AV45" s="291"/>
    </row>
    <row r="46" spans="2:48" s="290" customFormat="1" ht="14" thickBot="1">
      <c r="B46" s="289"/>
      <c r="C46" s="296"/>
      <c r="D46" s="297"/>
      <c r="E46" s="298"/>
      <c r="F46" s="294"/>
      <c r="G46" s="299"/>
      <c r="H46" s="299"/>
      <c r="I46" s="299"/>
      <c r="J46" s="299"/>
      <c r="K46" s="299"/>
      <c r="L46" s="299"/>
      <c r="M46" s="299"/>
      <c r="N46" s="299"/>
      <c r="O46" s="299"/>
      <c r="P46" s="299"/>
      <c r="Q46" s="299"/>
      <c r="R46" s="299"/>
      <c r="S46" s="300"/>
      <c r="T46" s="295"/>
      <c r="U46" s="299"/>
      <c r="V46" s="299"/>
      <c r="W46" s="299"/>
      <c r="X46" s="299"/>
      <c r="Y46" s="299"/>
      <c r="Z46" s="299"/>
      <c r="AA46" s="299"/>
      <c r="AB46" s="299"/>
      <c r="AC46" s="299"/>
      <c r="AD46" s="299"/>
      <c r="AE46" s="299"/>
      <c r="AF46" s="299"/>
      <c r="AG46" s="300"/>
      <c r="AI46" s="299"/>
      <c r="AJ46" s="299"/>
      <c r="AK46" s="299"/>
      <c r="AL46" s="299"/>
      <c r="AM46" s="299"/>
      <c r="AN46" s="299"/>
      <c r="AO46" s="299"/>
      <c r="AP46" s="299"/>
      <c r="AQ46" s="299"/>
      <c r="AR46" s="299"/>
      <c r="AS46" s="299"/>
      <c r="AT46" s="299"/>
      <c r="AU46" s="300"/>
      <c r="AV46" s="291"/>
    </row>
    <row r="47" spans="2:48" s="290" customFormat="1" ht="17" customHeight="1">
      <c r="B47" s="289"/>
      <c r="C47" s="995"/>
      <c r="D47" s="988"/>
      <c r="E47" s="989"/>
      <c r="F47" s="226"/>
      <c r="G47" s="306"/>
      <c r="H47" s="306"/>
      <c r="I47" s="306"/>
      <c r="J47" s="306"/>
      <c r="K47" s="306"/>
      <c r="L47" s="306"/>
      <c r="M47" s="306"/>
      <c r="N47" s="306"/>
      <c r="O47" s="306"/>
      <c r="P47" s="306"/>
      <c r="Q47" s="306"/>
      <c r="R47" s="306"/>
      <c r="S47" s="306"/>
      <c r="T47" s="196"/>
      <c r="U47" s="306"/>
      <c r="V47" s="306"/>
      <c r="W47" s="306"/>
      <c r="X47" s="306"/>
      <c r="Y47" s="306"/>
      <c r="Z47" s="306"/>
      <c r="AA47" s="306"/>
      <c r="AB47" s="306"/>
      <c r="AC47" s="306"/>
      <c r="AD47" s="306"/>
      <c r="AE47" s="306"/>
      <c r="AF47" s="306"/>
      <c r="AG47" s="306"/>
      <c r="AI47" s="306"/>
      <c r="AJ47" s="306"/>
      <c r="AK47" s="306"/>
      <c r="AL47" s="306"/>
      <c r="AM47" s="306"/>
      <c r="AN47" s="306"/>
      <c r="AO47" s="306"/>
      <c r="AP47" s="306"/>
      <c r="AQ47" s="306"/>
      <c r="AR47" s="306"/>
      <c r="AS47" s="306"/>
      <c r="AT47" s="306"/>
      <c r="AU47" s="306"/>
      <c r="AV47" s="291"/>
    </row>
    <row r="48" spans="2:48" s="290" customFormat="1">
      <c r="B48" s="289"/>
      <c r="C48" s="1017"/>
      <c r="D48" s="1274"/>
      <c r="E48" s="1275"/>
      <c r="F48" s="294"/>
      <c r="G48" s="1022"/>
      <c r="H48" s="1022"/>
      <c r="I48" s="1022"/>
      <c r="J48" s="1022"/>
      <c r="K48" s="1022"/>
      <c r="L48" s="1022"/>
      <c r="M48" s="1022"/>
      <c r="N48" s="1022"/>
      <c r="O48" s="1022"/>
      <c r="P48" s="1022"/>
      <c r="Q48" s="1022"/>
      <c r="R48" s="1022"/>
      <c r="S48" s="1023">
        <f t="shared" ref="S48:S53" si="22">SUM(G48:R48)</f>
        <v>0</v>
      </c>
      <c r="T48" s="305"/>
      <c r="U48" s="1022"/>
      <c r="V48" s="1022"/>
      <c r="W48" s="1022"/>
      <c r="X48" s="1022"/>
      <c r="Y48" s="1022"/>
      <c r="Z48" s="1022"/>
      <c r="AA48" s="1022"/>
      <c r="AB48" s="1022"/>
      <c r="AC48" s="1022"/>
      <c r="AD48" s="1022"/>
      <c r="AE48" s="1022"/>
      <c r="AF48" s="1022"/>
      <c r="AG48" s="1023">
        <f t="shared" ref="AG48:AG53" si="23">SUM(U48:AF48)</f>
        <v>0</v>
      </c>
      <c r="AI48" s="1022"/>
      <c r="AJ48" s="1022"/>
      <c r="AK48" s="1022"/>
      <c r="AL48" s="1022"/>
      <c r="AM48" s="1022"/>
      <c r="AN48" s="1022"/>
      <c r="AO48" s="1022"/>
      <c r="AP48" s="1022"/>
      <c r="AQ48" s="1022"/>
      <c r="AR48" s="1022"/>
      <c r="AS48" s="1022"/>
      <c r="AT48" s="1022"/>
      <c r="AU48" s="1023">
        <f t="shared" ref="AU48:AU53" si="24">SUM(AI48:AT48)</f>
        <v>0</v>
      </c>
      <c r="AV48" s="291"/>
    </row>
    <row r="49" spans="2:48" s="290" customFormat="1">
      <c r="B49" s="289"/>
      <c r="C49" s="1017"/>
      <c r="D49" s="1274"/>
      <c r="E49" s="1275"/>
      <c r="F49" s="294"/>
      <c r="G49" s="1020"/>
      <c r="H49" s="1020"/>
      <c r="I49" s="1020"/>
      <c r="J49" s="1020"/>
      <c r="K49" s="1020"/>
      <c r="L49" s="1020"/>
      <c r="M49" s="1020"/>
      <c r="N49" s="1020"/>
      <c r="O49" s="1020"/>
      <c r="P49" s="1020"/>
      <c r="Q49" s="1020"/>
      <c r="R49" s="1020"/>
      <c r="S49" s="308">
        <f t="shared" si="22"/>
        <v>0</v>
      </c>
      <c r="T49" s="305"/>
      <c r="U49" s="1020"/>
      <c r="V49" s="1020"/>
      <c r="W49" s="1020"/>
      <c r="X49" s="1020"/>
      <c r="Y49" s="1020"/>
      <c r="Z49" s="1020"/>
      <c r="AA49" s="1020"/>
      <c r="AB49" s="1020"/>
      <c r="AC49" s="1020"/>
      <c r="AD49" s="1020"/>
      <c r="AE49" s="1020"/>
      <c r="AF49" s="1020"/>
      <c r="AG49" s="308">
        <f t="shared" si="23"/>
        <v>0</v>
      </c>
      <c r="AI49" s="1020"/>
      <c r="AJ49" s="1020"/>
      <c r="AK49" s="1020"/>
      <c r="AL49" s="1020"/>
      <c r="AM49" s="1020"/>
      <c r="AN49" s="1020"/>
      <c r="AO49" s="1020"/>
      <c r="AP49" s="1020"/>
      <c r="AQ49" s="1020"/>
      <c r="AR49" s="1020"/>
      <c r="AS49" s="1020"/>
      <c r="AT49" s="1020"/>
      <c r="AU49" s="308">
        <f t="shared" si="24"/>
        <v>0</v>
      </c>
      <c r="AV49" s="291"/>
    </row>
    <row r="50" spans="2:48" s="290" customFormat="1">
      <c r="B50" s="289"/>
      <c r="C50" s="1017"/>
      <c r="D50" s="1274"/>
      <c r="E50" s="1275"/>
      <c r="F50" s="294"/>
      <c r="G50" s="1020"/>
      <c r="H50" s="1020"/>
      <c r="I50" s="1020"/>
      <c r="J50" s="1020"/>
      <c r="K50" s="1020"/>
      <c r="L50" s="1020"/>
      <c r="M50" s="1020"/>
      <c r="N50" s="1020"/>
      <c r="O50" s="1020"/>
      <c r="P50" s="1020"/>
      <c r="Q50" s="1020"/>
      <c r="R50" s="1020"/>
      <c r="S50" s="308">
        <f t="shared" si="22"/>
        <v>0</v>
      </c>
      <c r="T50" s="305"/>
      <c r="U50" s="1020"/>
      <c r="V50" s="1020"/>
      <c r="W50" s="1020"/>
      <c r="X50" s="1020"/>
      <c r="Y50" s="1020"/>
      <c r="Z50" s="1020"/>
      <c r="AA50" s="1020"/>
      <c r="AB50" s="1020"/>
      <c r="AC50" s="1020"/>
      <c r="AD50" s="1020"/>
      <c r="AE50" s="1020"/>
      <c r="AF50" s="1020"/>
      <c r="AG50" s="308">
        <f t="shared" si="23"/>
        <v>0</v>
      </c>
      <c r="AI50" s="1020"/>
      <c r="AJ50" s="1020"/>
      <c r="AK50" s="1020"/>
      <c r="AL50" s="1020"/>
      <c r="AM50" s="1020"/>
      <c r="AN50" s="1020"/>
      <c r="AO50" s="1020"/>
      <c r="AP50" s="1020"/>
      <c r="AQ50" s="1020"/>
      <c r="AR50" s="1020"/>
      <c r="AS50" s="1020"/>
      <c r="AT50" s="1020"/>
      <c r="AU50" s="308">
        <f t="shared" si="24"/>
        <v>0</v>
      </c>
      <c r="AV50" s="291"/>
    </row>
    <row r="51" spans="2:48" s="290" customFormat="1">
      <c r="B51" s="289"/>
      <c r="C51" s="1017"/>
      <c r="D51" s="1274"/>
      <c r="E51" s="1275"/>
      <c r="F51" s="294"/>
      <c r="G51" s="1020"/>
      <c r="H51" s="1020"/>
      <c r="I51" s="1020"/>
      <c r="J51" s="1020"/>
      <c r="K51" s="1020"/>
      <c r="L51" s="1020"/>
      <c r="M51" s="1020"/>
      <c r="N51" s="1020"/>
      <c r="O51" s="1020"/>
      <c r="P51" s="1020"/>
      <c r="Q51" s="1020"/>
      <c r="R51" s="1020"/>
      <c r="S51" s="308">
        <f t="shared" si="22"/>
        <v>0</v>
      </c>
      <c r="T51" s="305"/>
      <c r="U51" s="1020"/>
      <c r="V51" s="1020"/>
      <c r="W51" s="1020"/>
      <c r="X51" s="1020"/>
      <c r="Y51" s="1020"/>
      <c r="Z51" s="1020"/>
      <c r="AA51" s="1020"/>
      <c r="AB51" s="1020"/>
      <c r="AC51" s="1020"/>
      <c r="AD51" s="1020"/>
      <c r="AE51" s="1020"/>
      <c r="AF51" s="1020"/>
      <c r="AG51" s="308">
        <f t="shared" si="23"/>
        <v>0</v>
      </c>
      <c r="AI51" s="1020"/>
      <c r="AJ51" s="1020"/>
      <c r="AK51" s="1020"/>
      <c r="AL51" s="1020"/>
      <c r="AM51" s="1020"/>
      <c r="AN51" s="1020"/>
      <c r="AO51" s="1020"/>
      <c r="AP51" s="1020"/>
      <c r="AQ51" s="1020"/>
      <c r="AR51" s="1020"/>
      <c r="AS51" s="1020"/>
      <c r="AT51" s="1020"/>
      <c r="AU51" s="308">
        <f t="shared" si="24"/>
        <v>0</v>
      </c>
      <c r="AV51" s="291"/>
    </row>
    <row r="52" spans="2:48" s="290" customFormat="1" ht="14" thickBot="1">
      <c r="B52" s="289"/>
      <c r="C52" s="1017"/>
      <c r="D52" s="1274"/>
      <c r="E52" s="1275"/>
      <c r="F52" s="294"/>
      <c r="G52" s="1020"/>
      <c r="H52" s="1020"/>
      <c r="I52" s="1020"/>
      <c r="J52" s="1020"/>
      <c r="K52" s="1020"/>
      <c r="L52" s="1020"/>
      <c r="M52" s="1020"/>
      <c r="N52" s="1020"/>
      <c r="O52" s="1020"/>
      <c r="P52" s="1020"/>
      <c r="Q52" s="1020"/>
      <c r="R52" s="1020"/>
      <c r="S52" s="308">
        <f t="shared" si="22"/>
        <v>0</v>
      </c>
      <c r="T52" s="305"/>
      <c r="U52" s="1020"/>
      <c r="V52" s="1020"/>
      <c r="W52" s="1020"/>
      <c r="X52" s="1020"/>
      <c r="Y52" s="1020"/>
      <c r="Z52" s="1020"/>
      <c r="AA52" s="1020"/>
      <c r="AB52" s="1020"/>
      <c r="AC52" s="1020"/>
      <c r="AD52" s="1020"/>
      <c r="AE52" s="1020"/>
      <c r="AF52" s="1020"/>
      <c r="AG52" s="308">
        <f t="shared" si="23"/>
        <v>0</v>
      </c>
      <c r="AI52" s="1020"/>
      <c r="AJ52" s="1020"/>
      <c r="AK52" s="1020"/>
      <c r="AL52" s="1020"/>
      <c r="AM52" s="1020"/>
      <c r="AN52" s="1020"/>
      <c r="AO52" s="1020"/>
      <c r="AP52" s="1020"/>
      <c r="AQ52" s="1020"/>
      <c r="AR52" s="1020"/>
      <c r="AS52" s="1020"/>
      <c r="AT52" s="1020"/>
      <c r="AU52" s="308">
        <f t="shared" si="24"/>
        <v>0</v>
      </c>
      <c r="AV52" s="291"/>
    </row>
    <row r="53" spans="2:48" s="290" customFormat="1" ht="14" thickBot="1">
      <c r="B53" s="289"/>
      <c r="C53" s="996"/>
      <c r="D53" s="997" t="str">
        <f>"Total "&amp;C47</f>
        <v xml:space="preserve">Total </v>
      </c>
      <c r="E53" s="998"/>
      <c r="F53" s="294"/>
      <c r="G53" s="991">
        <f>SUM(G48:G52)</f>
        <v>0</v>
      </c>
      <c r="H53" s="991">
        <f t="shared" ref="H53:R53" si="25">SUM(H48:H52)</f>
        <v>0</v>
      </c>
      <c r="I53" s="991">
        <f t="shared" si="25"/>
        <v>0</v>
      </c>
      <c r="J53" s="991">
        <f t="shared" si="25"/>
        <v>0</v>
      </c>
      <c r="K53" s="991">
        <f t="shared" si="25"/>
        <v>0</v>
      </c>
      <c r="L53" s="991">
        <f t="shared" si="25"/>
        <v>0</v>
      </c>
      <c r="M53" s="991">
        <f t="shared" si="25"/>
        <v>0</v>
      </c>
      <c r="N53" s="991">
        <f t="shared" si="25"/>
        <v>0</v>
      </c>
      <c r="O53" s="991">
        <f t="shared" si="25"/>
        <v>0</v>
      </c>
      <c r="P53" s="991">
        <f t="shared" si="25"/>
        <v>0</v>
      </c>
      <c r="Q53" s="991">
        <f t="shared" si="25"/>
        <v>0</v>
      </c>
      <c r="R53" s="991">
        <f t="shared" si="25"/>
        <v>0</v>
      </c>
      <c r="S53" s="992">
        <f t="shared" si="22"/>
        <v>0</v>
      </c>
      <c r="T53" s="295"/>
      <c r="U53" s="991">
        <f>SUM(U48:U52)</f>
        <v>0</v>
      </c>
      <c r="V53" s="991">
        <f t="shared" ref="V53:AF53" si="26">SUM(V48:V52)</f>
        <v>0</v>
      </c>
      <c r="W53" s="991">
        <f t="shared" si="26"/>
        <v>0</v>
      </c>
      <c r="X53" s="991">
        <f t="shared" si="26"/>
        <v>0</v>
      </c>
      <c r="Y53" s="991">
        <f t="shared" si="26"/>
        <v>0</v>
      </c>
      <c r="Z53" s="991">
        <f t="shared" si="26"/>
        <v>0</v>
      </c>
      <c r="AA53" s="991">
        <f t="shared" si="26"/>
        <v>0</v>
      </c>
      <c r="AB53" s="991">
        <f t="shared" si="26"/>
        <v>0</v>
      </c>
      <c r="AC53" s="991">
        <f t="shared" si="26"/>
        <v>0</v>
      </c>
      <c r="AD53" s="991">
        <f t="shared" si="26"/>
        <v>0</v>
      </c>
      <c r="AE53" s="991">
        <f t="shared" si="26"/>
        <v>0</v>
      </c>
      <c r="AF53" s="991">
        <f t="shared" si="26"/>
        <v>0</v>
      </c>
      <c r="AG53" s="992">
        <f t="shared" si="23"/>
        <v>0</v>
      </c>
      <c r="AI53" s="991">
        <f>SUM(AI48:AI52)</f>
        <v>0</v>
      </c>
      <c r="AJ53" s="991">
        <f t="shared" ref="AJ53:AT53" si="27">SUM(AJ48:AJ52)</f>
        <v>0</v>
      </c>
      <c r="AK53" s="991">
        <f t="shared" si="27"/>
        <v>0</v>
      </c>
      <c r="AL53" s="991">
        <f t="shared" si="27"/>
        <v>0</v>
      </c>
      <c r="AM53" s="991">
        <f t="shared" si="27"/>
        <v>0</v>
      </c>
      <c r="AN53" s="991">
        <f t="shared" si="27"/>
        <v>0</v>
      </c>
      <c r="AO53" s="991">
        <f t="shared" si="27"/>
        <v>0</v>
      </c>
      <c r="AP53" s="991">
        <f t="shared" si="27"/>
        <v>0</v>
      </c>
      <c r="AQ53" s="991">
        <f t="shared" si="27"/>
        <v>0</v>
      </c>
      <c r="AR53" s="991">
        <f t="shared" si="27"/>
        <v>0</v>
      </c>
      <c r="AS53" s="991">
        <f t="shared" si="27"/>
        <v>0</v>
      </c>
      <c r="AT53" s="991">
        <f t="shared" si="27"/>
        <v>0</v>
      </c>
      <c r="AU53" s="992">
        <f t="shared" si="24"/>
        <v>0</v>
      </c>
      <c r="AV53" s="291"/>
    </row>
    <row r="54" spans="2:48" s="290" customFormat="1" ht="14" thickBot="1">
      <c r="B54" s="289"/>
      <c r="C54" s="296"/>
      <c r="D54" s="297"/>
      <c r="E54" s="298"/>
      <c r="F54" s="294"/>
      <c r="G54" s="299"/>
      <c r="H54" s="299"/>
      <c r="I54" s="299"/>
      <c r="J54" s="299"/>
      <c r="K54" s="299"/>
      <c r="L54" s="299"/>
      <c r="M54" s="299"/>
      <c r="N54" s="299"/>
      <c r="O54" s="299"/>
      <c r="P54" s="299"/>
      <c r="Q54" s="299"/>
      <c r="R54" s="299"/>
      <c r="S54" s="300"/>
      <c r="T54" s="295"/>
      <c r="U54" s="299"/>
      <c r="V54" s="299"/>
      <c r="W54" s="299"/>
      <c r="X54" s="299"/>
      <c r="Y54" s="299"/>
      <c r="Z54" s="299"/>
      <c r="AA54" s="299"/>
      <c r="AB54" s="299"/>
      <c r="AC54" s="299"/>
      <c r="AD54" s="299"/>
      <c r="AE54" s="299"/>
      <c r="AF54" s="299"/>
      <c r="AG54" s="300"/>
      <c r="AI54" s="299"/>
      <c r="AJ54" s="299"/>
      <c r="AK54" s="299"/>
      <c r="AL54" s="299"/>
      <c r="AM54" s="299"/>
      <c r="AN54" s="299"/>
      <c r="AO54" s="299"/>
      <c r="AP54" s="299"/>
      <c r="AQ54" s="299"/>
      <c r="AR54" s="299"/>
      <c r="AS54" s="299"/>
      <c r="AT54" s="299"/>
      <c r="AU54" s="300"/>
      <c r="AV54" s="291"/>
    </row>
    <row r="55" spans="2:48" s="290" customFormat="1" ht="17" customHeight="1">
      <c r="B55" s="289"/>
      <c r="C55" s="995" t="s">
        <v>76</v>
      </c>
      <c r="D55" s="988"/>
      <c r="E55" s="989"/>
      <c r="F55" s="226"/>
      <c r="G55" s="306"/>
      <c r="H55" s="306"/>
      <c r="I55" s="306"/>
      <c r="J55" s="306"/>
      <c r="K55" s="306"/>
      <c r="L55" s="306"/>
      <c r="M55" s="306"/>
      <c r="N55" s="306"/>
      <c r="O55" s="306"/>
      <c r="P55" s="306"/>
      <c r="Q55" s="306"/>
      <c r="R55" s="306"/>
      <c r="S55" s="306"/>
      <c r="T55" s="196"/>
      <c r="U55" s="306"/>
      <c r="V55" s="306"/>
      <c r="W55" s="306"/>
      <c r="X55" s="306"/>
      <c r="Y55" s="306"/>
      <c r="Z55" s="306"/>
      <c r="AA55" s="306"/>
      <c r="AB55" s="306"/>
      <c r="AC55" s="306"/>
      <c r="AD55" s="306"/>
      <c r="AE55" s="306"/>
      <c r="AF55" s="306"/>
      <c r="AG55" s="306"/>
      <c r="AI55" s="306"/>
      <c r="AJ55" s="306"/>
      <c r="AK55" s="306"/>
      <c r="AL55" s="306"/>
      <c r="AM55" s="306"/>
      <c r="AN55" s="306"/>
      <c r="AO55" s="306"/>
      <c r="AP55" s="306"/>
      <c r="AQ55" s="306"/>
      <c r="AR55" s="306"/>
      <c r="AS55" s="306"/>
      <c r="AT55" s="306"/>
      <c r="AU55" s="306"/>
      <c r="AV55" s="291"/>
    </row>
    <row r="56" spans="2:48" s="290" customFormat="1">
      <c r="B56" s="289"/>
      <c r="C56" s="1017"/>
      <c r="D56" s="1274"/>
      <c r="E56" s="1275"/>
      <c r="F56" s="294"/>
      <c r="G56" s="1022"/>
      <c r="H56" s="1022"/>
      <c r="I56" s="1022"/>
      <c r="J56" s="1022"/>
      <c r="K56" s="1022"/>
      <c r="L56" s="1022"/>
      <c r="M56" s="1022"/>
      <c r="N56" s="1022"/>
      <c r="O56" s="1022"/>
      <c r="P56" s="1022"/>
      <c r="Q56" s="1022"/>
      <c r="R56" s="1022"/>
      <c r="S56" s="1023">
        <f t="shared" ref="S56:S61" si="28">SUM(G56:R56)</f>
        <v>0</v>
      </c>
      <c r="T56" s="305"/>
      <c r="U56" s="1022"/>
      <c r="V56" s="1022"/>
      <c r="W56" s="1022"/>
      <c r="X56" s="1022"/>
      <c r="Y56" s="1022"/>
      <c r="Z56" s="1022"/>
      <c r="AA56" s="1022"/>
      <c r="AB56" s="1022"/>
      <c r="AC56" s="1022"/>
      <c r="AD56" s="1022"/>
      <c r="AE56" s="1022"/>
      <c r="AF56" s="1022"/>
      <c r="AG56" s="1023">
        <f t="shared" ref="AG56:AG61" si="29">SUM(U56:AF56)</f>
        <v>0</v>
      </c>
      <c r="AI56" s="1022"/>
      <c r="AJ56" s="1022"/>
      <c r="AK56" s="1022"/>
      <c r="AL56" s="1022"/>
      <c r="AM56" s="1022"/>
      <c r="AN56" s="1022"/>
      <c r="AO56" s="1022"/>
      <c r="AP56" s="1022"/>
      <c r="AQ56" s="1022"/>
      <c r="AR56" s="1022"/>
      <c r="AS56" s="1022"/>
      <c r="AT56" s="1022"/>
      <c r="AU56" s="1023">
        <f t="shared" ref="AU56:AU61" si="30">SUM(AI56:AT56)</f>
        <v>0</v>
      </c>
      <c r="AV56" s="291"/>
    </row>
    <row r="57" spans="2:48" s="290" customFormat="1">
      <c r="B57" s="289"/>
      <c r="C57" s="1017"/>
      <c r="D57" s="1274"/>
      <c r="E57" s="1275"/>
      <c r="F57" s="294"/>
      <c r="G57" s="1020"/>
      <c r="H57" s="1020"/>
      <c r="I57" s="1020"/>
      <c r="J57" s="1020"/>
      <c r="K57" s="1020"/>
      <c r="L57" s="1020"/>
      <c r="M57" s="1020"/>
      <c r="N57" s="1020"/>
      <c r="O57" s="1020"/>
      <c r="P57" s="1020"/>
      <c r="Q57" s="1020"/>
      <c r="R57" s="1020"/>
      <c r="S57" s="308">
        <f t="shared" si="28"/>
        <v>0</v>
      </c>
      <c r="T57" s="305"/>
      <c r="U57" s="1020"/>
      <c r="V57" s="1020"/>
      <c r="W57" s="1020"/>
      <c r="X57" s="1020"/>
      <c r="Y57" s="1020"/>
      <c r="Z57" s="1020"/>
      <c r="AA57" s="1020"/>
      <c r="AB57" s="1020"/>
      <c r="AC57" s="1020"/>
      <c r="AD57" s="1020"/>
      <c r="AE57" s="1020"/>
      <c r="AF57" s="1020"/>
      <c r="AG57" s="308">
        <f t="shared" si="29"/>
        <v>0</v>
      </c>
      <c r="AI57" s="1020"/>
      <c r="AJ57" s="1020"/>
      <c r="AK57" s="1020"/>
      <c r="AL57" s="1020"/>
      <c r="AM57" s="1020"/>
      <c r="AN57" s="1020"/>
      <c r="AO57" s="1020"/>
      <c r="AP57" s="1020"/>
      <c r="AQ57" s="1020"/>
      <c r="AR57" s="1020"/>
      <c r="AS57" s="1020"/>
      <c r="AT57" s="1020"/>
      <c r="AU57" s="308">
        <f t="shared" si="30"/>
        <v>0</v>
      </c>
      <c r="AV57" s="291"/>
    </row>
    <row r="58" spans="2:48" s="290" customFormat="1">
      <c r="B58" s="289"/>
      <c r="C58" s="1017"/>
      <c r="D58" s="1274"/>
      <c r="E58" s="1275"/>
      <c r="F58" s="294"/>
      <c r="G58" s="1020"/>
      <c r="H58" s="1020"/>
      <c r="I58" s="1020"/>
      <c r="J58" s="1020"/>
      <c r="K58" s="1020"/>
      <c r="L58" s="1020"/>
      <c r="M58" s="1020"/>
      <c r="N58" s="1020"/>
      <c r="O58" s="1020"/>
      <c r="P58" s="1020"/>
      <c r="Q58" s="1020"/>
      <c r="R58" s="1020"/>
      <c r="S58" s="308">
        <f t="shared" si="28"/>
        <v>0</v>
      </c>
      <c r="T58" s="305"/>
      <c r="U58" s="1020"/>
      <c r="V58" s="1020"/>
      <c r="W58" s="1020"/>
      <c r="X58" s="1020"/>
      <c r="Y58" s="1020"/>
      <c r="Z58" s="1020"/>
      <c r="AA58" s="1020"/>
      <c r="AB58" s="1020"/>
      <c r="AC58" s="1020"/>
      <c r="AD58" s="1020"/>
      <c r="AE58" s="1020"/>
      <c r="AF58" s="1020"/>
      <c r="AG58" s="308">
        <f t="shared" si="29"/>
        <v>0</v>
      </c>
      <c r="AI58" s="1020"/>
      <c r="AJ58" s="1020"/>
      <c r="AK58" s="1020"/>
      <c r="AL58" s="1020"/>
      <c r="AM58" s="1020"/>
      <c r="AN58" s="1020"/>
      <c r="AO58" s="1020"/>
      <c r="AP58" s="1020"/>
      <c r="AQ58" s="1020"/>
      <c r="AR58" s="1020"/>
      <c r="AS58" s="1020"/>
      <c r="AT58" s="1020"/>
      <c r="AU58" s="308">
        <f t="shared" si="30"/>
        <v>0</v>
      </c>
      <c r="AV58" s="291"/>
    </row>
    <row r="59" spans="2:48" s="290" customFormat="1">
      <c r="B59" s="289"/>
      <c r="C59" s="1017"/>
      <c r="D59" s="1274"/>
      <c r="E59" s="1275"/>
      <c r="F59" s="294"/>
      <c r="G59" s="1020"/>
      <c r="H59" s="1020"/>
      <c r="I59" s="1020"/>
      <c r="J59" s="1020"/>
      <c r="K59" s="1020"/>
      <c r="L59" s="1020"/>
      <c r="M59" s="1020"/>
      <c r="N59" s="1020"/>
      <c r="O59" s="1020"/>
      <c r="P59" s="1020"/>
      <c r="Q59" s="1020"/>
      <c r="R59" s="1020"/>
      <c r="S59" s="308">
        <f t="shared" si="28"/>
        <v>0</v>
      </c>
      <c r="T59" s="305"/>
      <c r="U59" s="1020"/>
      <c r="V59" s="1020"/>
      <c r="W59" s="1020"/>
      <c r="X59" s="1020"/>
      <c r="Y59" s="1020"/>
      <c r="Z59" s="1020"/>
      <c r="AA59" s="1020"/>
      <c r="AB59" s="1020"/>
      <c r="AC59" s="1020"/>
      <c r="AD59" s="1020"/>
      <c r="AE59" s="1020"/>
      <c r="AF59" s="1020"/>
      <c r="AG59" s="308">
        <f t="shared" si="29"/>
        <v>0</v>
      </c>
      <c r="AI59" s="1020"/>
      <c r="AJ59" s="1020"/>
      <c r="AK59" s="1020"/>
      <c r="AL59" s="1020"/>
      <c r="AM59" s="1020"/>
      <c r="AN59" s="1020"/>
      <c r="AO59" s="1020"/>
      <c r="AP59" s="1020"/>
      <c r="AQ59" s="1020"/>
      <c r="AR59" s="1020"/>
      <c r="AS59" s="1020"/>
      <c r="AT59" s="1020"/>
      <c r="AU59" s="308">
        <f t="shared" si="30"/>
        <v>0</v>
      </c>
      <c r="AV59" s="291"/>
    </row>
    <row r="60" spans="2:48" s="290" customFormat="1" ht="14" thickBot="1">
      <c r="B60" s="289"/>
      <c r="C60" s="1017"/>
      <c r="D60" s="1274"/>
      <c r="E60" s="1275"/>
      <c r="F60" s="294"/>
      <c r="G60" s="1020"/>
      <c r="H60" s="1020"/>
      <c r="I60" s="1020"/>
      <c r="J60" s="1020"/>
      <c r="K60" s="1020"/>
      <c r="L60" s="1020"/>
      <c r="M60" s="1020"/>
      <c r="N60" s="1020"/>
      <c r="O60" s="1020"/>
      <c r="P60" s="1020"/>
      <c r="Q60" s="1020"/>
      <c r="R60" s="1020"/>
      <c r="S60" s="308">
        <f t="shared" si="28"/>
        <v>0</v>
      </c>
      <c r="T60" s="305"/>
      <c r="U60" s="1020"/>
      <c r="V60" s="1020"/>
      <c r="W60" s="1020"/>
      <c r="X60" s="1020"/>
      <c r="Y60" s="1020"/>
      <c r="Z60" s="1020"/>
      <c r="AA60" s="1020"/>
      <c r="AB60" s="1020"/>
      <c r="AC60" s="1020"/>
      <c r="AD60" s="1020"/>
      <c r="AE60" s="1020"/>
      <c r="AF60" s="1020"/>
      <c r="AG60" s="308">
        <f t="shared" si="29"/>
        <v>0</v>
      </c>
      <c r="AI60" s="1020"/>
      <c r="AJ60" s="1020"/>
      <c r="AK60" s="1020"/>
      <c r="AL60" s="1020"/>
      <c r="AM60" s="1020"/>
      <c r="AN60" s="1020"/>
      <c r="AO60" s="1020"/>
      <c r="AP60" s="1020"/>
      <c r="AQ60" s="1020"/>
      <c r="AR60" s="1020"/>
      <c r="AS60" s="1020"/>
      <c r="AT60" s="1020"/>
      <c r="AU60" s="308">
        <f t="shared" si="30"/>
        <v>0</v>
      </c>
      <c r="AV60" s="291"/>
    </row>
    <row r="61" spans="2:48" s="290" customFormat="1" ht="14" thickBot="1">
      <c r="B61" s="289"/>
      <c r="C61" s="996"/>
      <c r="D61" s="997" t="str">
        <f>"Total "&amp;C55</f>
        <v>Total Miscellaneous</v>
      </c>
      <c r="E61" s="998"/>
      <c r="F61" s="294"/>
      <c r="G61" s="991">
        <f>SUM(G56:G60)</f>
        <v>0</v>
      </c>
      <c r="H61" s="991">
        <f t="shared" ref="H61:M61" si="31">SUM(H56:H60)</f>
        <v>0</v>
      </c>
      <c r="I61" s="991">
        <f t="shared" si="31"/>
        <v>0</v>
      </c>
      <c r="J61" s="991">
        <f t="shared" si="31"/>
        <v>0</v>
      </c>
      <c r="K61" s="991">
        <f t="shared" si="31"/>
        <v>0</v>
      </c>
      <c r="L61" s="991">
        <f t="shared" si="31"/>
        <v>0</v>
      </c>
      <c r="M61" s="991">
        <f t="shared" si="31"/>
        <v>0</v>
      </c>
      <c r="N61" s="991">
        <f>SUM(N56:N60)</f>
        <v>0</v>
      </c>
      <c r="O61" s="991">
        <f>SUM(O56:O60)</f>
        <v>0</v>
      </c>
      <c r="P61" s="991">
        <f>SUM(P56:P60)</f>
        <v>0</v>
      </c>
      <c r="Q61" s="991">
        <f>SUM(Q56:Q60)</f>
        <v>0</v>
      </c>
      <c r="R61" s="991">
        <f>SUM(R56:R60)</f>
        <v>0</v>
      </c>
      <c r="S61" s="992">
        <f t="shared" si="28"/>
        <v>0</v>
      </c>
      <c r="T61" s="295"/>
      <c r="U61" s="991">
        <f>SUM(U56:U60)</f>
        <v>0</v>
      </c>
      <c r="V61" s="991">
        <f t="shared" ref="V61:AA61" si="32">SUM(V56:V60)</f>
        <v>0</v>
      </c>
      <c r="W61" s="991">
        <f t="shared" si="32"/>
        <v>0</v>
      </c>
      <c r="X61" s="991">
        <f t="shared" si="32"/>
        <v>0</v>
      </c>
      <c r="Y61" s="991">
        <f t="shared" si="32"/>
        <v>0</v>
      </c>
      <c r="Z61" s="991">
        <f t="shared" si="32"/>
        <v>0</v>
      </c>
      <c r="AA61" s="991">
        <f t="shared" si="32"/>
        <v>0</v>
      </c>
      <c r="AB61" s="991">
        <f>SUM(AB56:AB60)</f>
        <v>0</v>
      </c>
      <c r="AC61" s="991">
        <f>SUM(AC56:AC60)</f>
        <v>0</v>
      </c>
      <c r="AD61" s="991">
        <f>SUM(AD56:AD60)</f>
        <v>0</v>
      </c>
      <c r="AE61" s="991">
        <f>SUM(AE56:AE60)</f>
        <v>0</v>
      </c>
      <c r="AF61" s="991">
        <f>SUM(AF56:AF60)</f>
        <v>0</v>
      </c>
      <c r="AG61" s="992">
        <f t="shared" si="29"/>
        <v>0</v>
      </c>
      <c r="AI61" s="991">
        <f>SUM(AI56:AI60)</f>
        <v>0</v>
      </c>
      <c r="AJ61" s="991">
        <f t="shared" ref="AJ61:AO61" si="33">SUM(AJ56:AJ60)</f>
        <v>0</v>
      </c>
      <c r="AK61" s="991">
        <f t="shared" si="33"/>
        <v>0</v>
      </c>
      <c r="AL61" s="991">
        <f t="shared" si="33"/>
        <v>0</v>
      </c>
      <c r="AM61" s="991">
        <f t="shared" si="33"/>
        <v>0</v>
      </c>
      <c r="AN61" s="991">
        <f t="shared" si="33"/>
        <v>0</v>
      </c>
      <c r="AO61" s="991">
        <f t="shared" si="33"/>
        <v>0</v>
      </c>
      <c r="AP61" s="991">
        <f>SUM(AP56:AP60)</f>
        <v>0</v>
      </c>
      <c r="AQ61" s="991">
        <f>SUM(AQ56:AQ60)</f>
        <v>0</v>
      </c>
      <c r="AR61" s="991">
        <f>SUM(AR56:AR60)</f>
        <v>0</v>
      </c>
      <c r="AS61" s="991">
        <f>SUM(AS56:AS60)</f>
        <v>0</v>
      </c>
      <c r="AT61" s="991">
        <f>SUM(AT56:AT60)</f>
        <v>0</v>
      </c>
      <c r="AU61" s="992">
        <f t="shared" si="30"/>
        <v>0</v>
      </c>
      <c r="AV61" s="291"/>
    </row>
    <row r="62" spans="2:48" s="290" customFormat="1">
      <c r="B62" s="289"/>
      <c r="C62" s="296"/>
      <c r="D62" s="297"/>
      <c r="E62" s="298"/>
      <c r="F62" s="294"/>
      <c r="G62" s="299"/>
      <c r="H62" s="299"/>
      <c r="I62" s="299"/>
      <c r="O62" s="299"/>
      <c r="P62" s="299"/>
      <c r="Q62" s="299"/>
      <c r="R62" s="299"/>
      <c r="S62" s="300"/>
      <c r="U62" s="299"/>
      <c r="V62" s="299"/>
      <c r="W62" s="299"/>
      <c r="AC62" s="299"/>
      <c r="AD62" s="299"/>
      <c r="AE62" s="299"/>
      <c r="AF62" s="299"/>
      <c r="AG62" s="300"/>
      <c r="AI62" s="299"/>
      <c r="AJ62" s="299"/>
      <c r="AK62" s="299"/>
      <c r="AQ62" s="299"/>
      <c r="AR62" s="299"/>
      <c r="AS62" s="299"/>
      <c r="AT62" s="299"/>
      <c r="AU62" s="300"/>
      <c r="AV62" s="291"/>
    </row>
    <row r="63" spans="2:48" s="290" customFormat="1">
      <c r="B63" s="289"/>
      <c r="C63" s="296"/>
      <c r="D63" s="297"/>
      <c r="E63" s="298"/>
      <c r="F63" s="294"/>
      <c r="G63" s="299"/>
      <c r="H63" s="299"/>
      <c r="I63" s="299"/>
      <c r="O63" s="299"/>
      <c r="P63" s="299"/>
      <c r="Q63" s="299"/>
      <c r="R63" s="299"/>
      <c r="S63" s="300"/>
      <c r="T63" s="295"/>
      <c r="U63" s="299"/>
      <c r="V63" s="299"/>
      <c r="W63" s="299"/>
      <c r="AC63" s="299"/>
      <c r="AD63" s="299"/>
      <c r="AE63" s="299"/>
      <c r="AF63" s="299"/>
      <c r="AG63" s="300"/>
      <c r="AI63" s="299"/>
      <c r="AJ63" s="299"/>
      <c r="AK63" s="299"/>
      <c r="AQ63" s="299"/>
      <c r="AR63" s="299"/>
      <c r="AS63" s="299"/>
      <c r="AT63" s="299"/>
      <c r="AU63" s="300"/>
      <c r="AV63" s="291"/>
    </row>
    <row r="64" spans="2:48" s="290" customFormat="1" ht="14" customHeight="1" thickBot="1">
      <c r="B64" s="289"/>
      <c r="C64" s="296"/>
      <c r="D64" s="297"/>
      <c r="E64" s="298"/>
      <c r="F64" s="294"/>
      <c r="G64" s="299"/>
      <c r="H64" s="299"/>
      <c r="I64" s="299"/>
      <c r="J64" s="299"/>
      <c r="K64" s="299"/>
      <c r="L64" s="299"/>
      <c r="M64" s="299"/>
      <c r="N64" s="299"/>
      <c r="O64" s="299"/>
      <c r="P64" s="299"/>
      <c r="Q64" s="299"/>
      <c r="R64" s="299"/>
      <c r="S64" s="300"/>
      <c r="T64" s="295"/>
      <c r="U64" s="299"/>
      <c r="V64" s="299"/>
      <c r="W64" s="299"/>
      <c r="X64" s="299"/>
      <c r="Y64" s="299"/>
      <c r="Z64" s="299"/>
      <c r="AA64" s="299"/>
      <c r="AB64" s="299"/>
      <c r="AC64" s="299"/>
      <c r="AD64" s="299"/>
      <c r="AE64" s="299"/>
      <c r="AF64" s="299"/>
      <c r="AG64" s="300"/>
      <c r="AI64" s="299"/>
      <c r="AJ64" s="299"/>
      <c r="AK64" s="299"/>
      <c r="AL64" s="299"/>
      <c r="AM64" s="299"/>
      <c r="AN64" s="299"/>
      <c r="AO64" s="299"/>
      <c r="AP64" s="299"/>
      <c r="AQ64" s="299"/>
      <c r="AR64" s="299"/>
      <c r="AS64" s="299"/>
      <c r="AT64" s="299"/>
      <c r="AU64" s="300"/>
      <c r="AV64" s="291"/>
    </row>
    <row r="65" spans="2:48" s="290" customFormat="1" ht="14" thickBot="1">
      <c r="B65" s="289"/>
      <c r="C65" s="1108"/>
      <c r="D65" s="1109" t="s">
        <v>305</v>
      </c>
      <c r="E65" s="1110"/>
      <c r="F65" s="294"/>
      <c r="G65" s="1111">
        <f t="shared" ref="G65:R65" si="34">+G17+G24+G31+G39+G45+G53+G61</f>
        <v>0</v>
      </c>
      <c r="H65" s="1111">
        <f t="shared" si="34"/>
        <v>0</v>
      </c>
      <c r="I65" s="1111">
        <f t="shared" si="34"/>
        <v>4</v>
      </c>
      <c r="J65" s="1111">
        <f t="shared" si="34"/>
        <v>0</v>
      </c>
      <c r="K65" s="1111">
        <f t="shared" si="34"/>
        <v>0</v>
      </c>
      <c r="L65" s="1111">
        <f t="shared" si="34"/>
        <v>0</v>
      </c>
      <c r="M65" s="1111">
        <f t="shared" si="34"/>
        <v>0</v>
      </c>
      <c r="N65" s="1111">
        <f t="shared" si="34"/>
        <v>0</v>
      </c>
      <c r="O65" s="1111">
        <f t="shared" si="34"/>
        <v>0</v>
      </c>
      <c r="P65" s="1111">
        <f t="shared" si="34"/>
        <v>0</v>
      </c>
      <c r="Q65" s="1111">
        <f t="shared" si="34"/>
        <v>0</v>
      </c>
      <c r="R65" s="1111">
        <f t="shared" si="34"/>
        <v>0</v>
      </c>
      <c r="S65" s="992">
        <f>SUM(G65:R65)</f>
        <v>4</v>
      </c>
      <c r="T65" s="295"/>
      <c r="U65" s="1111">
        <f t="shared" ref="U65:AF65" si="35">+U17+U24+U31+U39+U45+U53+U61</f>
        <v>0</v>
      </c>
      <c r="V65" s="1111">
        <f t="shared" si="35"/>
        <v>0</v>
      </c>
      <c r="W65" s="1111">
        <f t="shared" si="35"/>
        <v>0</v>
      </c>
      <c r="X65" s="1111">
        <f t="shared" si="35"/>
        <v>0</v>
      </c>
      <c r="Y65" s="1111">
        <f t="shared" si="35"/>
        <v>0</v>
      </c>
      <c r="Z65" s="1111">
        <f t="shared" si="35"/>
        <v>0</v>
      </c>
      <c r="AA65" s="1111">
        <f t="shared" si="35"/>
        <v>0</v>
      </c>
      <c r="AB65" s="1111">
        <f t="shared" si="35"/>
        <v>0</v>
      </c>
      <c r="AC65" s="1111">
        <f t="shared" si="35"/>
        <v>3</v>
      </c>
      <c r="AD65" s="1111">
        <f t="shared" si="35"/>
        <v>1</v>
      </c>
      <c r="AE65" s="1111">
        <f t="shared" si="35"/>
        <v>0</v>
      </c>
      <c r="AF65" s="1111">
        <f t="shared" si="35"/>
        <v>0</v>
      </c>
      <c r="AG65" s="992">
        <f>SUM(U65:AF65)</f>
        <v>4</v>
      </c>
      <c r="AI65" s="1111">
        <f t="shared" ref="AI65:AT65" si="36">+AI17+AI24+AI31+AI39+AI45+AI53+AI61</f>
        <v>0</v>
      </c>
      <c r="AJ65" s="1111">
        <f t="shared" si="36"/>
        <v>1</v>
      </c>
      <c r="AK65" s="1111">
        <f t="shared" si="36"/>
        <v>3</v>
      </c>
      <c r="AL65" s="1111">
        <f t="shared" si="36"/>
        <v>0</v>
      </c>
      <c r="AM65" s="1111">
        <f t="shared" si="36"/>
        <v>0</v>
      </c>
      <c r="AN65" s="1111">
        <f t="shared" si="36"/>
        <v>0</v>
      </c>
      <c r="AO65" s="1111">
        <f t="shared" si="36"/>
        <v>0</v>
      </c>
      <c r="AP65" s="1111">
        <f t="shared" si="36"/>
        <v>0</v>
      </c>
      <c r="AQ65" s="1111">
        <f t="shared" si="36"/>
        <v>0</v>
      </c>
      <c r="AR65" s="1111">
        <f t="shared" si="36"/>
        <v>0</v>
      </c>
      <c r="AS65" s="1111">
        <f t="shared" si="36"/>
        <v>0</v>
      </c>
      <c r="AT65" s="1111">
        <f t="shared" si="36"/>
        <v>0</v>
      </c>
      <c r="AU65" s="992">
        <f>SUM(AI65:AT65)</f>
        <v>4</v>
      </c>
      <c r="AV65" s="291"/>
    </row>
    <row r="66" spans="2:48">
      <c r="B66" s="207"/>
      <c r="C66" s="288"/>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I66" s="301"/>
      <c r="AJ66" s="301"/>
      <c r="AK66" s="301"/>
      <c r="AL66" s="301"/>
      <c r="AM66" s="301"/>
      <c r="AN66" s="301"/>
      <c r="AO66" s="301"/>
      <c r="AP66" s="301"/>
      <c r="AQ66" s="301"/>
      <c r="AR66" s="301"/>
      <c r="AS66" s="301"/>
      <c r="AT66" s="301"/>
      <c r="AU66" s="301"/>
      <c r="AV66" s="209"/>
    </row>
    <row r="67" spans="2:48">
      <c r="B67" s="302"/>
      <c r="C67" s="303"/>
      <c r="D67" s="210"/>
      <c r="E67" s="210"/>
      <c r="F67" s="508"/>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24"/>
    </row>
    <row r="71" spans="2:48">
      <c r="D71" s="202" t="s">
        <v>141</v>
      </c>
      <c r="E71" s="208"/>
    </row>
    <row r="72" spans="2:48">
      <c r="D72" s="913" t="s">
        <v>399</v>
      </c>
      <c r="E72" s="914" t="s">
        <v>397</v>
      </c>
      <c r="F72" s="927"/>
      <c r="G72" s="915">
        <f>SUMIF($C$10:$C$60,$D$72,G10:G60)</f>
        <v>0</v>
      </c>
      <c r="H72" s="915">
        <f t="shared" ref="H72:R72" si="37">SUMIF($C$10:$C$60,$D$72,H10:H60)</f>
        <v>0</v>
      </c>
      <c r="I72" s="915">
        <f t="shared" si="37"/>
        <v>3</v>
      </c>
      <c r="J72" s="915">
        <f t="shared" si="37"/>
        <v>0</v>
      </c>
      <c r="K72" s="915">
        <f t="shared" si="37"/>
        <v>0</v>
      </c>
      <c r="L72" s="915">
        <f t="shared" si="37"/>
        <v>0</v>
      </c>
      <c r="M72" s="915">
        <f t="shared" si="37"/>
        <v>0</v>
      </c>
      <c r="N72" s="915">
        <f t="shared" si="37"/>
        <v>0</v>
      </c>
      <c r="O72" s="915">
        <f t="shared" si="37"/>
        <v>0</v>
      </c>
      <c r="P72" s="915">
        <f t="shared" si="37"/>
        <v>0</v>
      </c>
      <c r="Q72" s="915">
        <f t="shared" si="37"/>
        <v>0</v>
      </c>
      <c r="R72" s="915">
        <f t="shared" si="37"/>
        <v>0</v>
      </c>
      <c r="U72" s="915">
        <f t="shared" ref="U72:AF72" si="38">SUMIF($C$10:$C$60,$D$72,U10:U60)</f>
        <v>0</v>
      </c>
      <c r="V72" s="915">
        <f t="shared" si="38"/>
        <v>0</v>
      </c>
      <c r="W72" s="915">
        <f t="shared" si="38"/>
        <v>0</v>
      </c>
      <c r="X72" s="915">
        <f t="shared" si="38"/>
        <v>0</v>
      </c>
      <c r="Y72" s="915">
        <f t="shared" si="38"/>
        <v>0</v>
      </c>
      <c r="Z72" s="915">
        <f t="shared" si="38"/>
        <v>0</v>
      </c>
      <c r="AA72" s="915">
        <f t="shared" si="38"/>
        <v>0</v>
      </c>
      <c r="AB72" s="915">
        <f t="shared" si="38"/>
        <v>0</v>
      </c>
      <c r="AC72" s="915">
        <f t="shared" si="38"/>
        <v>3</v>
      </c>
      <c r="AD72" s="915">
        <f t="shared" si="38"/>
        <v>0</v>
      </c>
      <c r="AE72" s="915">
        <f t="shared" si="38"/>
        <v>0</v>
      </c>
      <c r="AF72" s="915">
        <f t="shared" si="38"/>
        <v>0</v>
      </c>
      <c r="AI72" s="915">
        <f t="shared" ref="AI72:AT72" si="39">SUMIF($C$10:$C$60,$D$72,AI10:AI60)</f>
        <v>0</v>
      </c>
      <c r="AJ72" s="915">
        <f t="shared" si="39"/>
        <v>0</v>
      </c>
      <c r="AK72" s="915">
        <f t="shared" si="39"/>
        <v>3</v>
      </c>
      <c r="AL72" s="915">
        <f t="shared" si="39"/>
        <v>0</v>
      </c>
      <c r="AM72" s="915">
        <f t="shared" si="39"/>
        <v>0</v>
      </c>
      <c r="AN72" s="915">
        <f t="shared" si="39"/>
        <v>0</v>
      </c>
      <c r="AO72" s="915">
        <f t="shared" si="39"/>
        <v>0</v>
      </c>
      <c r="AP72" s="915">
        <f t="shared" si="39"/>
        <v>0</v>
      </c>
      <c r="AQ72" s="915">
        <f t="shared" si="39"/>
        <v>0</v>
      </c>
      <c r="AR72" s="915">
        <f t="shared" si="39"/>
        <v>0</v>
      </c>
      <c r="AS72" s="915">
        <f t="shared" si="39"/>
        <v>0</v>
      </c>
      <c r="AT72" s="915">
        <f t="shared" si="39"/>
        <v>0</v>
      </c>
    </row>
    <row r="73" spans="2:48">
      <c r="D73" s="916" t="s">
        <v>396</v>
      </c>
      <c r="E73" s="917" t="s">
        <v>397</v>
      </c>
      <c r="F73" s="928"/>
      <c r="G73" s="918">
        <f t="shared" ref="G73:R73" si="40">(+G65-G72)</f>
        <v>0</v>
      </c>
      <c r="H73" s="918">
        <f t="shared" si="40"/>
        <v>0</v>
      </c>
      <c r="I73" s="918">
        <f t="shared" si="40"/>
        <v>1</v>
      </c>
      <c r="J73" s="918">
        <f t="shared" si="40"/>
        <v>0</v>
      </c>
      <c r="K73" s="918">
        <f t="shared" si="40"/>
        <v>0</v>
      </c>
      <c r="L73" s="918">
        <f t="shared" si="40"/>
        <v>0</v>
      </c>
      <c r="M73" s="918">
        <f t="shared" si="40"/>
        <v>0</v>
      </c>
      <c r="N73" s="918">
        <f t="shared" si="40"/>
        <v>0</v>
      </c>
      <c r="O73" s="918">
        <f t="shared" si="40"/>
        <v>0</v>
      </c>
      <c r="P73" s="918">
        <f t="shared" si="40"/>
        <v>0</v>
      </c>
      <c r="Q73" s="918">
        <f t="shared" si="40"/>
        <v>0</v>
      </c>
      <c r="R73" s="919">
        <f t="shared" si="40"/>
        <v>0</v>
      </c>
      <c r="U73" s="918">
        <f t="shared" ref="U73:AF73" si="41">(+U65-U72)</f>
        <v>0</v>
      </c>
      <c r="V73" s="918">
        <f t="shared" si="41"/>
        <v>0</v>
      </c>
      <c r="W73" s="918">
        <f t="shared" si="41"/>
        <v>0</v>
      </c>
      <c r="X73" s="918">
        <f t="shared" si="41"/>
        <v>0</v>
      </c>
      <c r="Y73" s="918">
        <f t="shared" si="41"/>
        <v>0</v>
      </c>
      <c r="Z73" s="918">
        <f t="shared" si="41"/>
        <v>0</v>
      </c>
      <c r="AA73" s="918">
        <f t="shared" si="41"/>
        <v>0</v>
      </c>
      <c r="AB73" s="918">
        <f t="shared" si="41"/>
        <v>0</v>
      </c>
      <c r="AC73" s="918">
        <f t="shared" si="41"/>
        <v>0</v>
      </c>
      <c r="AD73" s="918">
        <f t="shared" si="41"/>
        <v>1</v>
      </c>
      <c r="AE73" s="918">
        <f t="shared" si="41"/>
        <v>0</v>
      </c>
      <c r="AF73" s="919">
        <f t="shared" si="41"/>
        <v>0</v>
      </c>
      <c r="AI73" s="918">
        <f t="shared" ref="AI73:AT73" si="42">(+AI65-AI72)</f>
        <v>0</v>
      </c>
      <c r="AJ73" s="918">
        <f t="shared" si="42"/>
        <v>1</v>
      </c>
      <c r="AK73" s="918">
        <f t="shared" si="42"/>
        <v>0</v>
      </c>
      <c r="AL73" s="918">
        <f t="shared" si="42"/>
        <v>0</v>
      </c>
      <c r="AM73" s="918">
        <f t="shared" si="42"/>
        <v>0</v>
      </c>
      <c r="AN73" s="918">
        <f t="shared" si="42"/>
        <v>0</v>
      </c>
      <c r="AO73" s="918">
        <f t="shared" si="42"/>
        <v>0</v>
      </c>
      <c r="AP73" s="918">
        <f t="shared" si="42"/>
        <v>0</v>
      </c>
      <c r="AQ73" s="918">
        <f t="shared" si="42"/>
        <v>0</v>
      </c>
      <c r="AR73" s="918">
        <f t="shared" si="42"/>
        <v>0</v>
      </c>
      <c r="AS73" s="918">
        <f t="shared" si="42"/>
        <v>0</v>
      </c>
      <c r="AT73" s="919">
        <f t="shared" si="42"/>
        <v>0</v>
      </c>
    </row>
    <row r="74" spans="2:48">
      <c r="D74" s="916" t="s">
        <v>404</v>
      </c>
      <c r="E74" s="920">
        <f>VAT_Rate_reduced</f>
        <v>7.0000000000000007E-2</v>
      </c>
      <c r="F74" s="928"/>
      <c r="G74" s="921">
        <f t="shared" ref="G74:R74" si="43">+G72*(1+$E$74)</f>
        <v>0</v>
      </c>
      <c r="H74" s="921">
        <f t="shared" si="43"/>
        <v>0</v>
      </c>
      <c r="I74" s="921">
        <f t="shared" si="43"/>
        <v>3.21</v>
      </c>
      <c r="J74" s="921">
        <f t="shared" si="43"/>
        <v>0</v>
      </c>
      <c r="K74" s="921">
        <f t="shared" si="43"/>
        <v>0</v>
      </c>
      <c r="L74" s="921">
        <f t="shared" si="43"/>
        <v>0</v>
      </c>
      <c r="M74" s="921">
        <f t="shared" si="43"/>
        <v>0</v>
      </c>
      <c r="N74" s="921">
        <f t="shared" si="43"/>
        <v>0</v>
      </c>
      <c r="O74" s="921">
        <f t="shared" si="43"/>
        <v>0</v>
      </c>
      <c r="P74" s="921">
        <f t="shared" si="43"/>
        <v>0</v>
      </c>
      <c r="Q74" s="921">
        <f t="shared" si="43"/>
        <v>0</v>
      </c>
      <c r="R74" s="922">
        <f t="shared" si="43"/>
        <v>0</v>
      </c>
      <c r="U74" s="921">
        <f t="shared" ref="U74:AF74" si="44">+U72*(1+$E$74)</f>
        <v>0</v>
      </c>
      <c r="V74" s="921">
        <f t="shared" si="44"/>
        <v>0</v>
      </c>
      <c r="W74" s="921">
        <f t="shared" si="44"/>
        <v>0</v>
      </c>
      <c r="X74" s="921">
        <f t="shared" si="44"/>
        <v>0</v>
      </c>
      <c r="Y74" s="921">
        <f t="shared" si="44"/>
        <v>0</v>
      </c>
      <c r="Z74" s="921">
        <f t="shared" si="44"/>
        <v>0</v>
      </c>
      <c r="AA74" s="921">
        <f t="shared" si="44"/>
        <v>0</v>
      </c>
      <c r="AB74" s="921">
        <f t="shared" si="44"/>
        <v>0</v>
      </c>
      <c r="AC74" s="921">
        <f t="shared" si="44"/>
        <v>3.21</v>
      </c>
      <c r="AD74" s="921">
        <f t="shared" si="44"/>
        <v>0</v>
      </c>
      <c r="AE74" s="921">
        <f t="shared" si="44"/>
        <v>0</v>
      </c>
      <c r="AF74" s="922">
        <f t="shared" si="44"/>
        <v>0</v>
      </c>
      <c r="AI74" s="921">
        <f t="shared" ref="AI74:AT74" si="45">+AI72*(1+$E$74)</f>
        <v>0</v>
      </c>
      <c r="AJ74" s="921">
        <f t="shared" si="45"/>
        <v>0</v>
      </c>
      <c r="AK74" s="921">
        <f t="shared" si="45"/>
        <v>3.21</v>
      </c>
      <c r="AL74" s="921">
        <f t="shared" si="45"/>
        <v>0</v>
      </c>
      <c r="AM74" s="921">
        <f t="shared" si="45"/>
        <v>0</v>
      </c>
      <c r="AN74" s="921">
        <f t="shared" si="45"/>
        <v>0</v>
      </c>
      <c r="AO74" s="921">
        <f t="shared" si="45"/>
        <v>0</v>
      </c>
      <c r="AP74" s="921">
        <f t="shared" si="45"/>
        <v>0</v>
      </c>
      <c r="AQ74" s="921">
        <f t="shared" si="45"/>
        <v>0</v>
      </c>
      <c r="AR74" s="921">
        <f t="shared" si="45"/>
        <v>0</v>
      </c>
      <c r="AS74" s="921">
        <f t="shared" si="45"/>
        <v>0</v>
      </c>
      <c r="AT74" s="922">
        <f t="shared" si="45"/>
        <v>0</v>
      </c>
    </row>
    <row r="75" spans="2:48">
      <c r="D75" s="916" t="s">
        <v>403</v>
      </c>
      <c r="E75" s="920">
        <f>VAT_Rate_normal</f>
        <v>0.19</v>
      </c>
      <c r="F75" s="928"/>
      <c r="G75" s="921">
        <f t="shared" ref="G75:R75" si="46">G73*(1+$E$75)</f>
        <v>0</v>
      </c>
      <c r="H75" s="921">
        <f t="shared" si="46"/>
        <v>0</v>
      </c>
      <c r="I75" s="921">
        <f t="shared" si="46"/>
        <v>1.19</v>
      </c>
      <c r="J75" s="921">
        <f t="shared" si="46"/>
        <v>0</v>
      </c>
      <c r="K75" s="921">
        <f t="shared" si="46"/>
        <v>0</v>
      </c>
      <c r="L75" s="921">
        <f t="shared" si="46"/>
        <v>0</v>
      </c>
      <c r="M75" s="921">
        <f t="shared" si="46"/>
        <v>0</v>
      </c>
      <c r="N75" s="921">
        <f t="shared" si="46"/>
        <v>0</v>
      </c>
      <c r="O75" s="921">
        <f t="shared" si="46"/>
        <v>0</v>
      </c>
      <c r="P75" s="921">
        <f t="shared" si="46"/>
        <v>0</v>
      </c>
      <c r="Q75" s="921">
        <f t="shared" si="46"/>
        <v>0</v>
      </c>
      <c r="R75" s="922">
        <f t="shared" si="46"/>
        <v>0</v>
      </c>
      <c r="U75" s="921">
        <f t="shared" ref="U75:AF75" si="47">U73*(1+$E$75)</f>
        <v>0</v>
      </c>
      <c r="V75" s="921">
        <f t="shared" si="47"/>
        <v>0</v>
      </c>
      <c r="W75" s="921">
        <f t="shared" si="47"/>
        <v>0</v>
      </c>
      <c r="X75" s="921">
        <f t="shared" si="47"/>
        <v>0</v>
      </c>
      <c r="Y75" s="921">
        <f t="shared" si="47"/>
        <v>0</v>
      </c>
      <c r="Z75" s="921">
        <f t="shared" si="47"/>
        <v>0</v>
      </c>
      <c r="AA75" s="921">
        <f t="shared" si="47"/>
        <v>0</v>
      </c>
      <c r="AB75" s="921">
        <f t="shared" si="47"/>
        <v>0</v>
      </c>
      <c r="AC75" s="921">
        <f t="shared" si="47"/>
        <v>0</v>
      </c>
      <c r="AD75" s="921">
        <f t="shared" si="47"/>
        <v>1.19</v>
      </c>
      <c r="AE75" s="921">
        <f t="shared" si="47"/>
        <v>0</v>
      </c>
      <c r="AF75" s="922">
        <f t="shared" si="47"/>
        <v>0</v>
      </c>
      <c r="AI75" s="921">
        <f t="shared" ref="AI75:AT75" si="48">AI73*(1+$E$75)</f>
        <v>0</v>
      </c>
      <c r="AJ75" s="921">
        <f t="shared" si="48"/>
        <v>1.19</v>
      </c>
      <c r="AK75" s="921">
        <f t="shared" si="48"/>
        <v>0</v>
      </c>
      <c r="AL75" s="921">
        <f t="shared" si="48"/>
        <v>0</v>
      </c>
      <c r="AM75" s="921">
        <f t="shared" si="48"/>
        <v>0</v>
      </c>
      <c r="AN75" s="921">
        <f t="shared" si="48"/>
        <v>0</v>
      </c>
      <c r="AO75" s="921">
        <f t="shared" si="48"/>
        <v>0</v>
      </c>
      <c r="AP75" s="921">
        <f t="shared" si="48"/>
        <v>0</v>
      </c>
      <c r="AQ75" s="921">
        <f t="shared" si="48"/>
        <v>0</v>
      </c>
      <c r="AR75" s="921">
        <f t="shared" si="48"/>
        <v>0</v>
      </c>
      <c r="AS75" s="921">
        <f t="shared" si="48"/>
        <v>0</v>
      </c>
      <c r="AT75" s="922">
        <f t="shared" si="48"/>
        <v>0</v>
      </c>
    </row>
    <row r="76" spans="2:48">
      <c r="D76" s="923" t="s">
        <v>398</v>
      </c>
      <c r="E76" s="924"/>
      <c r="F76" s="929"/>
      <c r="G76" s="925">
        <f t="shared" ref="G76:L76" si="49">+G75+G74</f>
        <v>0</v>
      </c>
      <c r="H76" s="925">
        <f t="shared" si="49"/>
        <v>0</v>
      </c>
      <c r="I76" s="925">
        <f t="shared" si="49"/>
        <v>4.4000000000000004</v>
      </c>
      <c r="J76" s="925">
        <f t="shared" si="49"/>
        <v>0</v>
      </c>
      <c r="K76" s="925">
        <f t="shared" si="49"/>
        <v>0</v>
      </c>
      <c r="L76" s="925">
        <f t="shared" si="49"/>
        <v>0</v>
      </c>
      <c r="M76" s="925">
        <f t="shared" ref="M76:R76" si="50">+M75+M74</f>
        <v>0</v>
      </c>
      <c r="N76" s="925">
        <f t="shared" si="50"/>
        <v>0</v>
      </c>
      <c r="O76" s="925">
        <f t="shared" si="50"/>
        <v>0</v>
      </c>
      <c r="P76" s="925">
        <f t="shared" si="50"/>
        <v>0</v>
      </c>
      <c r="Q76" s="925">
        <f t="shared" si="50"/>
        <v>0</v>
      </c>
      <c r="R76" s="926">
        <f t="shared" si="50"/>
        <v>0</v>
      </c>
      <c r="U76" s="925">
        <f t="shared" ref="U76:AF76" si="51">+U75+U74</f>
        <v>0</v>
      </c>
      <c r="V76" s="925">
        <f t="shared" si="51"/>
        <v>0</v>
      </c>
      <c r="W76" s="925">
        <f t="shared" si="51"/>
        <v>0</v>
      </c>
      <c r="X76" s="925">
        <f t="shared" si="51"/>
        <v>0</v>
      </c>
      <c r="Y76" s="925">
        <f t="shared" si="51"/>
        <v>0</v>
      </c>
      <c r="Z76" s="925">
        <f t="shared" si="51"/>
        <v>0</v>
      </c>
      <c r="AA76" s="925">
        <f t="shared" si="51"/>
        <v>0</v>
      </c>
      <c r="AB76" s="925">
        <f t="shared" si="51"/>
        <v>0</v>
      </c>
      <c r="AC76" s="925">
        <f t="shared" si="51"/>
        <v>3.21</v>
      </c>
      <c r="AD76" s="925">
        <f t="shared" si="51"/>
        <v>1.19</v>
      </c>
      <c r="AE76" s="925">
        <f t="shared" si="51"/>
        <v>0</v>
      </c>
      <c r="AF76" s="926">
        <f t="shared" si="51"/>
        <v>0</v>
      </c>
      <c r="AI76" s="925">
        <f t="shared" ref="AI76:AT76" si="52">+AI75+AI74</f>
        <v>0</v>
      </c>
      <c r="AJ76" s="925">
        <f t="shared" si="52"/>
        <v>1.19</v>
      </c>
      <c r="AK76" s="925">
        <f t="shared" si="52"/>
        <v>3.21</v>
      </c>
      <c r="AL76" s="925">
        <f t="shared" si="52"/>
        <v>0</v>
      </c>
      <c r="AM76" s="925">
        <f t="shared" si="52"/>
        <v>0</v>
      </c>
      <c r="AN76" s="925">
        <f t="shared" si="52"/>
        <v>0</v>
      </c>
      <c r="AO76" s="925">
        <f t="shared" si="52"/>
        <v>0</v>
      </c>
      <c r="AP76" s="925">
        <f t="shared" si="52"/>
        <v>0</v>
      </c>
      <c r="AQ76" s="925">
        <f t="shared" si="52"/>
        <v>0</v>
      </c>
      <c r="AR76" s="925">
        <f t="shared" si="52"/>
        <v>0</v>
      </c>
      <c r="AS76" s="925">
        <f t="shared" si="52"/>
        <v>0</v>
      </c>
      <c r="AT76" s="926">
        <f t="shared" si="52"/>
        <v>0</v>
      </c>
    </row>
    <row r="79" spans="2:48">
      <c r="D79" s="1069" t="s">
        <v>400</v>
      </c>
      <c r="E79" s="1070" t="s">
        <v>401</v>
      </c>
    </row>
    <row r="80" spans="2:48">
      <c r="E80" s="1070" t="s">
        <v>402</v>
      </c>
    </row>
  </sheetData>
  <mergeCells count="41">
    <mergeCell ref="G7:S7"/>
    <mergeCell ref="C7:E7"/>
    <mergeCell ref="AI7:AU7"/>
    <mergeCell ref="U7:AG7"/>
    <mergeCell ref="AA4:AC4"/>
    <mergeCell ref="AO4:AQ4"/>
    <mergeCell ref="M4:O4"/>
    <mergeCell ref="D22:E22"/>
    <mergeCell ref="D23:E23"/>
    <mergeCell ref="D8:E8"/>
    <mergeCell ref="D10:E10"/>
    <mergeCell ref="D11:E11"/>
    <mergeCell ref="D12:E12"/>
    <mergeCell ref="D13:E13"/>
    <mergeCell ref="D14:E14"/>
    <mergeCell ref="D15:E15"/>
    <mergeCell ref="D16:E16"/>
    <mergeCell ref="D20:E20"/>
    <mergeCell ref="D21:E21"/>
    <mergeCell ref="D57:E57"/>
    <mergeCell ref="D27:E27"/>
    <mergeCell ref="D28:E28"/>
    <mergeCell ref="D34:E34"/>
    <mergeCell ref="D35:E35"/>
    <mergeCell ref="D42:E42"/>
    <mergeCell ref="D60:E60"/>
    <mergeCell ref="D29:E29"/>
    <mergeCell ref="D30:E30"/>
    <mergeCell ref="D36:E36"/>
    <mergeCell ref="D37:E37"/>
    <mergeCell ref="D38:E38"/>
    <mergeCell ref="D44:E44"/>
    <mergeCell ref="D50:E50"/>
    <mergeCell ref="D51:E51"/>
    <mergeCell ref="D52:E52"/>
    <mergeCell ref="D58:E58"/>
    <mergeCell ref="D59:E59"/>
    <mergeCell ref="D43:E43"/>
    <mergeCell ref="D48:E48"/>
    <mergeCell ref="D49:E49"/>
    <mergeCell ref="D56:E56"/>
  </mergeCells>
  <phoneticPr fontId="6" type="noConversion"/>
  <printOptions horizontalCentered="1"/>
  <pageMargins left="0.2" right="0.2" top="0.2" bottom="0.35000000000000003" header="0.2" footer="0.2"/>
  <pageSetup paperSize="9" scale="62" fitToWidth="2" orientation="landscape" horizontalDpi="4294967292" verticalDpi="4294967292"/>
  <headerFooter>
    <oddFooter>&amp;L&amp;"Arial,Standard"Business Case&amp;C&amp;"Arial,Standard"&amp;F&amp;R&amp;"Arial,Standard"&amp;D Seite &amp;P von &amp;N</oddFooter>
  </headerFooter>
  <colBreaks count="1" manualBreakCount="1">
    <brk id="20" min="1" max="66" man="1"/>
  </colBreaks>
  <ignoredErrors>
    <ignoredError sqref="S16:AG16 G31:R31 T39:AG41 S39:S44 G45:S46 G39:R40 U45:AG55 G65:AU65 AI8:AU9 AI30:AU33 S25:AG26 AG23 S23:T23 S24:X24 S17:AG19 G17:R18 G24:R24 AF24:AG24 T44 T43 AG43 AI45:AU55 AU43 AU44 U60:AG61 AG56 AI59:AU61 AU56 AG57 AU57 G53:S55 S30:AG33 S28:T28 AG28 AI24:AT26 AI22:AT23 AU20 AU24:AU26 AU27 AU21:AU23 AU28 S10:T10 AG10 S11:T11 AG11 S38:AG38 S34:T34 AG34 S35:T35 AC35:AG35 S36:T36 Y36 AC36:AG36 J50:S52 S12:T15 AF12:AG15 S20:T22 AG20 S27:T27 AG27 S29:T29 AG29 S37:T37 Y37:AG37 T42 AG42 AG44 AG58:AG59 AU58 AI35:AU42 AU34 AG22 J48:O48 Q48:S48 J49:O49 Q49:S49 G57:S61 G56:M56 S56 AI12:AU19 AU10 AU11" unlockedFormula="1"/>
    <ignoredError sqref="Y24:AE24" formulaRange="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D42"/>
  <sheetViews>
    <sheetView showGridLines="0" tabSelected="1" zoomScale="150" zoomScaleNormal="150" workbookViewId="0">
      <selection activeCell="AF14" sqref="AF14"/>
    </sheetView>
  </sheetViews>
  <sheetFormatPr baseColWidth="10" defaultColWidth="11.796875" defaultRowHeight="13"/>
  <cols>
    <col min="1" max="2" width="2.19921875" style="310" customWidth="1"/>
    <col min="3" max="4" width="26.796875" style="310" hidden="1" customWidth="1"/>
    <col min="5" max="5" width="30.3984375" style="310" customWidth="1"/>
    <col min="6" max="6" width="1.19921875" style="310" customWidth="1"/>
    <col min="7" max="14" width="7.19921875" style="310" customWidth="1"/>
    <col min="15" max="18" width="6.3984375" style="310" customWidth="1"/>
    <col min="19" max="19" width="2.19921875" style="310" customWidth="1"/>
    <col min="20" max="23" width="9" style="310" customWidth="1"/>
    <col min="24" max="24" width="2.19921875" style="310" customWidth="1"/>
    <col min="25" max="28" width="9" style="310" customWidth="1"/>
    <col min="29" max="29" width="2.19921875" style="310" customWidth="1"/>
    <col min="30" max="16384" width="11.796875" style="310"/>
  </cols>
  <sheetData>
    <row r="2" spans="2:29" ht="17" customHeight="1">
      <c r="B2" s="1295" t="s">
        <v>383</v>
      </c>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7"/>
    </row>
    <row r="3" spans="2:29">
      <c r="B3" s="319"/>
      <c r="C3" s="311" t="str">
        <f>+Parameter!D4&amp;", "&amp;Parameter!D15</f>
        <v>company name, Location</v>
      </c>
      <c r="D3" s="311" t="str">
        <f>+Parameter!D4&amp;", "&amp;Parameter!D15</f>
        <v>company name, Location</v>
      </c>
      <c r="J3" s="320"/>
      <c r="K3" s="321"/>
      <c r="L3" s="322" t="s">
        <v>384</v>
      </c>
      <c r="M3" s="1298">
        <v>1000</v>
      </c>
      <c r="N3" s="1298"/>
      <c r="O3" s="323" t="s">
        <v>257</v>
      </c>
      <c r="P3" s="312"/>
      <c r="Q3" s="312"/>
      <c r="R3" s="312"/>
      <c r="S3" s="312"/>
      <c r="AC3" s="324"/>
    </row>
    <row r="4" spans="2:29">
      <c r="B4" s="319"/>
      <c r="C4" s="311"/>
      <c r="D4" s="311"/>
      <c r="AC4" s="324"/>
    </row>
    <row r="5" spans="2:29">
      <c r="B5" s="319"/>
      <c r="C5" s="313"/>
      <c r="D5" s="313"/>
      <c r="E5" s="324"/>
      <c r="F5" s="339"/>
      <c r="G5" s="1290" t="str">
        <f>Parameter!$D$8&amp;" "&amp;Parameter!D6</f>
        <v>Year 2023</v>
      </c>
      <c r="H5" s="1291"/>
      <c r="I5" s="1291"/>
      <c r="J5" s="1291"/>
      <c r="K5" s="1291"/>
      <c r="L5" s="1291"/>
      <c r="M5" s="1291"/>
      <c r="N5" s="1291"/>
      <c r="O5" s="1291"/>
      <c r="P5" s="1291"/>
      <c r="Q5" s="1291"/>
      <c r="R5" s="1291"/>
      <c r="S5" s="339"/>
      <c r="T5" s="1293" t="str">
        <f>Parameter!$D$8&amp;" "&amp;Parameter!E6</f>
        <v>Year 2024</v>
      </c>
      <c r="U5" s="1293"/>
      <c r="V5" s="1293"/>
      <c r="W5" s="1294"/>
      <c r="X5" s="339"/>
      <c r="Y5" s="1292" t="str">
        <f>Parameter!$D$8&amp;" "&amp;Parameter!F6</f>
        <v>Year 2025</v>
      </c>
      <c r="Z5" s="1293"/>
      <c r="AA5" s="1293"/>
      <c r="AB5" s="1293"/>
      <c r="AC5" s="324"/>
    </row>
    <row r="6" spans="2:29" s="312" customFormat="1" ht="17" customHeight="1" thickBot="1">
      <c r="B6" s="325"/>
      <c r="C6" s="999" t="s">
        <v>79</v>
      </c>
      <c r="D6" s="1056" t="s">
        <v>314</v>
      </c>
      <c r="E6" s="1064" t="s">
        <v>79</v>
      </c>
      <c r="F6" s="324"/>
      <c r="G6" s="1003" t="s">
        <v>4</v>
      </c>
      <c r="H6" s="1003" t="s">
        <v>5</v>
      </c>
      <c r="I6" s="1003" t="s">
        <v>48</v>
      </c>
      <c r="J6" s="1003" t="s">
        <v>7</v>
      </c>
      <c r="K6" s="1003" t="s">
        <v>49</v>
      </c>
      <c r="L6" s="1003" t="s">
        <v>9</v>
      </c>
      <c r="M6" s="1003" t="s">
        <v>10</v>
      </c>
      <c r="N6" s="1003" t="s">
        <v>11</v>
      </c>
      <c r="O6" s="1003" t="s">
        <v>12</v>
      </c>
      <c r="P6" s="1003" t="s">
        <v>50</v>
      </c>
      <c r="Q6" s="1003" t="s">
        <v>2</v>
      </c>
      <c r="R6" s="1004" t="s">
        <v>51</v>
      </c>
      <c r="S6" s="339"/>
      <c r="T6" s="1005" t="s">
        <v>14</v>
      </c>
      <c r="U6" s="1003" t="s">
        <v>15</v>
      </c>
      <c r="V6" s="1003" t="s">
        <v>16</v>
      </c>
      <c r="W6" s="1003" t="s">
        <v>17</v>
      </c>
      <c r="X6" s="339"/>
      <c r="Y6" s="1003" t="s">
        <v>14</v>
      </c>
      <c r="Z6" s="1003" t="s">
        <v>15</v>
      </c>
      <c r="AA6" s="1003" t="s">
        <v>16</v>
      </c>
      <c r="AB6" s="1003" t="s">
        <v>17</v>
      </c>
      <c r="AC6" s="326"/>
    </row>
    <row r="7" spans="2:29" ht="14" customHeight="1">
      <c r="B7" s="319"/>
      <c r="C7" s="334" t="s">
        <v>177</v>
      </c>
      <c r="D7" s="1057" t="s">
        <v>315</v>
      </c>
      <c r="E7" s="1065" t="s">
        <v>385</v>
      </c>
      <c r="F7" s="324"/>
      <c r="G7" s="1025">
        <v>0</v>
      </c>
      <c r="H7" s="341">
        <f>+G10</f>
        <v>0</v>
      </c>
      <c r="I7" s="341">
        <f t="shared" ref="I7:R7" si="0">+H10</f>
        <v>0</v>
      </c>
      <c r="J7" s="341">
        <f t="shared" si="0"/>
        <v>0</v>
      </c>
      <c r="K7" s="341">
        <f t="shared" si="0"/>
        <v>0</v>
      </c>
      <c r="L7" s="341">
        <f t="shared" si="0"/>
        <v>0</v>
      </c>
      <c r="M7" s="341">
        <f t="shared" si="0"/>
        <v>0</v>
      </c>
      <c r="N7" s="341">
        <f t="shared" si="0"/>
        <v>0</v>
      </c>
      <c r="O7" s="341">
        <f t="shared" si="0"/>
        <v>0</v>
      </c>
      <c r="P7" s="341">
        <f t="shared" si="0"/>
        <v>0</v>
      </c>
      <c r="Q7" s="341">
        <f t="shared" si="0"/>
        <v>0</v>
      </c>
      <c r="R7" s="341">
        <f t="shared" si="0"/>
        <v>0</v>
      </c>
      <c r="S7" s="339"/>
      <c r="T7" s="341">
        <f>+R10</f>
        <v>0</v>
      </c>
      <c r="U7" s="341">
        <f>+T10</f>
        <v>0</v>
      </c>
      <c r="V7" s="341">
        <f t="shared" ref="V7:W7" si="1">+U10</f>
        <v>0</v>
      </c>
      <c r="W7" s="341">
        <f t="shared" si="1"/>
        <v>0</v>
      </c>
      <c r="X7" s="339"/>
      <c r="Y7" s="341">
        <f>+W10</f>
        <v>0</v>
      </c>
      <c r="Z7" s="341">
        <f>+Y10</f>
        <v>0</v>
      </c>
      <c r="AA7" s="341">
        <f t="shared" ref="AA7:AB7" si="2">+Z10</f>
        <v>0</v>
      </c>
      <c r="AB7" s="341">
        <f t="shared" si="2"/>
        <v>0</v>
      </c>
      <c r="AC7" s="327"/>
    </row>
    <row r="8" spans="2:29" ht="14" customHeight="1">
      <c r="B8" s="319"/>
      <c r="C8" s="335" t="s">
        <v>178</v>
      </c>
      <c r="D8" s="1058" t="s">
        <v>316</v>
      </c>
      <c r="E8" s="1066" t="s">
        <v>386</v>
      </c>
      <c r="F8" s="324"/>
      <c r="G8" s="1026">
        <v>0</v>
      </c>
      <c r="H8" s="1026">
        <v>0</v>
      </c>
      <c r="I8" s="1026">
        <v>0</v>
      </c>
      <c r="J8" s="1026">
        <v>0</v>
      </c>
      <c r="K8" s="1026">
        <v>0</v>
      </c>
      <c r="L8" s="1026">
        <v>0</v>
      </c>
      <c r="M8" s="1026">
        <v>0</v>
      </c>
      <c r="N8" s="1026">
        <v>0</v>
      </c>
      <c r="O8" s="1026">
        <v>0</v>
      </c>
      <c r="P8" s="1026">
        <v>0</v>
      </c>
      <c r="Q8" s="1026">
        <v>0</v>
      </c>
      <c r="R8" s="1027">
        <v>0</v>
      </c>
      <c r="S8" s="339"/>
      <c r="T8" s="1026">
        <v>0</v>
      </c>
      <c r="U8" s="1026">
        <v>0</v>
      </c>
      <c r="V8" s="1026">
        <v>0</v>
      </c>
      <c r="W8" s="1027">
        <v>0</v>
      </c>
      <c r="X8" s="339"/>
      <c r="Y8" s="1026">
        <v>0</v>
      </c>
      <c r="Z8" s="1026">
        <v>0</v>
      </c>
      <c r="AA8" s="1026">
        <v>0</v>
      </c>
      <c r="AB8" s="1026">
        <v>0</v>
      </c>
      <c r="AC8" s="327"/>
    </row>
    <row r="9" spans="2:29" ht="14" customHeight="1">
      <c r="B9" s="319"/>
      <c r="C9" s="336" t="s">
        <v>81</v>
      </c>
      <c r="D9" s="1059" t="s">
        <v>317</v>
      </c>
      <c r="E9" s="1066" t="s">
        <v>387</v>
      </c>
      <c r="F9" s="324"/>
      <c r="G9" s="1026">
        <v>0</v>
      </c>
      <c r="H9" s="1026">
        <v>0</v>
      </c>
      <c r="I9" s="1026">
        <v>0</v>
      </c>
      <c r="J9" s="1026">
        <v>0</v>
      </c>
      <c r="K9" s="1026">
        <f>+K7</f>
        <v>0</v>
      </c>
      <c r="L9" s="1026">
        <v>0</v>
      </c>
      <c r="M9" s="1026">
        <v>0</v>
      </c>
      <c r="N9" s="1026">
        <v>0</v>
      </c>
      <c r="O9" s="1026">
        <v>0</v>
      </c>
      <c r="P9" s="1026">
        <v>0</v>
      </c>
      <c r="Q9" s="1026">
        <v>0</v>
      </c>
      <c r="R9" s="1027">
        <v>0</v>
      </c>
      <c r="S9" s="339"/>
      <c r="T9" s="1026">
        <v>0</v>
      </c>
      <c r="U9" s="1026">
        <v>0</v>
      </c>
      <c r="V9" s="1026">
        <v>0</v>
      </c>
      <c r="W9" s="1027">
        <v>0</v>
      </c>
      <c r="X9" s="339"/>
      <c r="Y9" s="1026">
        <v>0</v>
      </c>
      <c r="Z9" s="1026">
        <v>0</v>
      </c>
      <c r="AA9" s="1026">
        <v>0</v>
      </c>
      <c r="AB9" s="1026">
        <v>0</v>
      </c>
      <c r="AC9" s="327"/>
    </row>
    <row r="10" spans="2:29" ht="14" customHeight="1">
      <c r="B10" s="319"/>
      <c r="C10" s="337" t="s">
        <v>179</v>
      </c>
      <c r="D10" s="1060" t="s">
        <v>318</v>
      </c>
      <c r="E10" s="1065" t="s">
        <v>388</v>
      </c>
      <c r="F10" s="324"/>
      <c r="G10" s="342">
        <f>G7+G8-G9</f>
        <v>0</v>
      </c>
      <c r="H10" s="342">
        <f>H7+H8-H9</f>
        <v>0</v>
      </c>
      <c r="I10" s="342">
        <f t="shared" ref="I10:R10" si="3">I7+I8-I9</f>
        <v>0</v>
      </c>
      <c r="J10" s="342">
        <f t="shared" si="3"/>
        <v>0</v>
      </c>
      <c r="K10" s="342">
        <f t="shared" si="3"/>
        <v>0</v>
      </c>
      <c r="L10" s="342">
        <f t="shared" si="3"/>
        <v>0</v>
      </c>
      <c r="M10" s="342">
        <f t="shared" si="3"/>
        <v>0</v>
      </c>
      <c r="N10" s="342">
        <f t="shared" si="3"/>
        <v>0</v>
      </c>
      <c r="O10" s="342">
        <f t="shared" si="3"/>
        <v>0</v>
      </c>
      <c r="P10" s="342">
        <f t="shared" si="3"/>
        <v>0</v>
      </c>
      <c r="Q10" s="342">
        <f t="shared" si="3"/>
        <v>0</v>
      </c>
      <c r="R10" s="344">
        <f t="shared" si="3"/>
        <v>0</v>
      </c>
      <c r="S10" s="339"/>
      <c r="T10" s="342">
        <f>T7+T8-T9</f>
        <v>0</v>
      </c>
      <c r="U10" s="342">
        <f>U7+U8-U9</f>
        <v>0</v>
      </c>
      <c r="V10" s="342">
        <f>V7+V8-V9</f>
        <v>0</v>
      </c>
      <c r="W10" s="344">
        <f>W7+W8-W9</f>
        <v>0</v>
      </c>
      <c r="X10" s="339"/>
      <c r="Y10" s="342">
        <f>Y7+Y8-Y9</f>
        <v>0</v>
      </c>
      <c r="Z10" s="342">
        <f>Z7+Z8-Z9</f>
        <v>0</v>
      </c>
      <c r="AA10" s="342">
        <f>AA7+AA8-AA9</f>
        <v>0</v>
      </c>
      <c r="AB10" s="342">
        <f>AB7+AB8-AB9</f>
        <v>0</v>
      </c>
      <c r="AC10" s="327"/>
    </row>
    <row r="11" spans="2:29" ht="14" customHeight="1">
      <c r="B11" s="319"/>
      <c r="C11" s="337" t="s">
        <v>180</v>
      </c>
      <c r="D11" s="1060" t="s">
        <v>319</v>
      </c>
      <c r="E11" s="1065" t="s">
        <v>389</v>
      </c>
      <c r="F11" s="324"/>
      <c r="G11" s="342">
        <f>(G7+G10)/2</f>
        <v>0</v>
      </c>
      <c r="H11" s="342">
        <f>(H7+H10)/2</f>
        <v>0</v>
      </c>
      <c r="I11" s="342">
        <f t="shared" ref="I11:R11" si="4">(I7+I10)/2</f>
        <v>0</v>
      </c>
      <c r="J11" s="342">
        <f t="shared" si="4"/>
        <v>0</v>
      </c>
      <c r="K11" s="342">
        <f t="shared" si="4"/>
        <v>0</v>
      </c>
      <c r="L11" s="342">
        <f t="shared" si="4"/>
        <v>0</v>
      </c>
      <c r="M11" s="342">
        <f t="shared" si="4"/>
        <v>0</v>
      </c>
      <c r="N11" s="342">
        <f t="shared" si="4"/>
        <v>0</v>
      </c>
      <c r="O11" s="342">
        <f t="shared" si="4"/>
        <v>0</v>
      </c>
      <c r="P11" s="342">
        <f t="shared" si="4"/>
        <v>0</v>
      </c>
      <c r="Q11" s="342">
        <f t="shared" si="4"/>
        <v>0</v>
      </c>
      <c r="R11" s="344">
        <f t="shared" si="4"/>
        <v>0</v>
      </c>
      <c r="S11" s="339"/>
      <c r="T11" s="342">
        <f>(T7+T10)/2</f>
        <v>0</v>
      </c>
      <c r="U11" s="342">
        <f>(U7+U10)/2</f>
        <v>0</v>
      </c>
      <c r="V11" s="342">
        <f>(V7+V10)/2</f>
        <v>0</v>
      </c>
      <c r="W11" s="344">
        <f>(W7+W10)/2</f>
        <v>0</v>
      </c>
      <c r="X11" s="339"/>
      <c r="Y11" s="342">
        <f>(Y7+Y10)/2</f>
        <v>0</v>
      </c>
      <c r="Z11" s="342">
        <f>(Z7+Z10)/2</f>
        <v>0</v>
      </c>
      <c r="AA11" s="342">
        <f>(AA7+AA10)/2</f>
        <v>0</v>
      </c>
      <c r="AB11" s="342">
        <f>(AB7+AB10)/2</f>
        <v>0</v>
      </c>
      <c r="AC11" s="327"/>
    </row>
    <row r="12" spans="2:29" ht="14" customHeight="1">
      <c r="B12" s="319"/>
      <c r="C12" s="337" t="s">
        <v>181</v>
      </c>
      <c r="D12" s="1060" t="s">
        <v>320</v>
      </c>
      <c r="E12" s="1065" t="s">
        <v>390</v>
      </c>
      <c r="F12" s="324"/>
      <c r="G12" s="1028">
        <v>0.1162</v>
      </c>
      <c r="H12" s="1028">
        <f>+G12</f>
        <v>0.1162</v>
      </c>
      <c r="I12" s="1028">
        <f t="shared" ref="I12:R12" si="5">+H12</f>
        <v>0.1162</v>
      </c>
      <c r="J12" s="1028">
        <f t="shared" si="5"/>
        <v>0.1162</v>
      </c>
      <c r="K12" s="1028">
        <f t="shared" si="5"/>
        <v>0.1162</v>
      </c>
      <c r="L12" s="1028">
        <f t="shared" si="5"/>
        <v>0.1162</v>
      </c>
      <c r="M12" s="1028">
        <f t="shared" si="5"/>
        <v>0.1162</v>
      </c>
      <c r="N12" s="1028">
        <f t="shared" si="5"/>
        <v>0.1162</v>
      </c>
      <c r="O12" s="1028">
        <f t="shared" si="5"/>
        <v>0.1162</v>
      </c>
      <c r="P12" s="1028">
        <f t="shared" si="5"/>
        <v>0.1162</v>
      </c>
      <c r="Q12" s="1028">
        <f t="shared" si="5"/>
        <v>0.1162</v>
      </c>
      <c r="R12" s="1029">
        <f t="shared" si="5"/>
        <v>0.1162</v>
      </c>
      <c r="S12" s="339"/>
      <c r="T12" s="1028">
        <v>0.12</v>
      </c>
      <c r="U12" s="1028">
        <v>0.12</v>
      </c>
      <c r="V12" s="1028">
        <v>0.12</v>
      </c>
      <c r="W12" s="1029">
        <v>0.12</v>
      </c>
      <c r="X12" s="339"/>
      <c r="Y12" s="1028">
        <v>0.12</v>
      </c>
      <c r="Z12" s="1028">
        <v>0.12</v>
      </c>
      <c r="AA12" s="1028">
        <v>0.12</v>
      </c>
      <c r="AB12" s="1028">
        <v>0.12</v>
      </c>
      <c r="AC12" s="327"/>
    </row>
    <row r="13" spans="2:29" ht="14" customHeight="1">
      <c r="B13" s="319"/>
      <c r="C13" s="338" t="s">
        <v>78</v>
      </c>
      <c r="D13" s="1061" t="s">
        <v>321</v>
      </c>
      <c r="E13" s="1065" t="s">
        <v>391</v>
      </c>
      <c r="F13" s="324"/>
      <c r="G13" s="343">
        <f>G11*G12/360*30</f>
        <v>0</v>
      </c>
      <c r="H13" s="343">
        <f t="shared" ref="H13:R13" si="6">H11*H12/360*30</f>
        <v>0</v>
      </c>
      <c r="I13" s="343">
        <f t="shared" si="6"/>
        <v>0</v>
      </c>
      <c r="J13" s="343">
        <f t="shared" si="6"/>
        <v>0</v>
      </c>
      <c r="K13" s="343">
        <f t="shared" si="6"/>
        <v>0</v>
      </c>
      <c r="L13" s="343">
        <f t="shared" si="6"/>
        <v>0</v>
      </c>
      <c r="M13" s="343">
        <f t="shared" si="6"/>
        <v>0</v>
      </c>
      <c r="N13" s="343">
        <f t="shared" si="6"/>
        <v>0</v>
      </c>
      <c r="O13" s="343">
        <f t="shared" si="6"/>
        <v>0</v>
      </c>
      <c r="P13" s="343">
        <f t="shared" si="6"/>
        <v>0</v>
      </c>
      <c r="Q13" s="343">
        <f t="shared" si="6"/>
        <v>0</v>
      </c>
      <c r="R13" s="345">
        <f t="shared" si="6"/>
        <v>0</v>
      </c>
      <c r="S13" s="339"/>
      <c r="T13" s="343">
        <f>T11*T12/360*90</f>
        <v>0</v>
      </c>
      <c r="U13" s="343">
        <f>U11*U12/360*90</f>
        <v>0</v>
      </c>
      <c r="V13" s="343">
        <f>V11*V12/360*90</f>
        <v>0</v>
      </c>
      <c r="W13" s="345">
        <f>W11*W12/360*90</f>
        <v>0</v>
      </c>
      <c r="X13" s="339"/>
      <c r="Y13" s="343">
        <f>Y11*Y12/360*90</f>
        <v>0</v>
      </c>
      <c r="Z13" s="343">
        <f>Z11*Z12/360*90</f>
        <v>0</v>
      </c>
      <c r="AA13" s="343">
        <f>AA11*AA12/360*90</f>
        <v>0</v>
      </c>
      <c r="AB13" s="343">
        <f>AB11*AB12/360*90</f>
        <v>0</v>
      </c>
      <c r="AC13" s="327"/>
    </row>
    <row r="14" spans="2:29" s="312" customFormat="1" ht="14" customHeight="1" thickBot="1">
      <c r="B14" s="325"/>
      <c r="C14" s="999" t="s">
        <v>182</v>
      </c>
      <c r="D14" s="1056" t="s">
        <v>325</v>
      </c>
      <c r="E14" s="1067" t="s">
        <v>182</v>
      </c>
      <c r="F14" s="324"/>
      <c r="G14" s="314"/>
      <c r="H14" s="314"/>
      <c r="I14" s="314"/>
      <c r="J14" s="314"/>
      <c r="K14" s="314"/>
      <c r="L14" s="314"/>
      <c r="M14" s="314"/>
      <c r="N14" s="314"/>
      <c r="O14" s="314"/>
      <c r="P14" s="314"/>
      <c r="Q14" s="314"/>
      <c r="R14" s="314"/>
      <c r="S14" s="339"/>
      <c r="T14" s="314"/>
      <c r="U14" s="314"/>
      <c r="V14" s="314"/>
      <c r="W14" s="314"/>
      <c r="X14" s="339"/>
      <c r="Y14" s="314"/>
      <c r="Z14" s="315"/>
      <c r="AA14" s="315"/>
      <c r="AB14" s="328"/>
      <c r="AC14" s="328"/>
    </row>
    <row r="15" spans="2:29" ht="14" customHeight="1">
      <c r="B15" s="319"/>
      <c r="C15" s="334" t="s">
        <v>177</v>
      </c>
      <c r="D15" s="1057" t="s">
        <v>315</v>
      </c>
      <c r="E15" s="1065" t="s">
        <v>385</v>
      </c>
      <c r="F15" s="324"/>
      <c r="G15" s="1025">
        <v>100</v>
      </c>
      <c r="H15" s="341">
        <f>+G18</f>
        <v>99</v>
      </c>
      <c r="I15" s="341">
        <f t="shared" ref="I15:R15" si="7">+H18</f>
        <v>98</v>
      </c>
      <c r="J15" s="341">
        <f t="shared" si="7"/>
        <v>97</v>
      </c>
      <c r="K15" s="341">
        <f t="shared" si="7"/>
        <v>96</v>
      </c>
      <c r="L15" s="341">
        <f t="shared" si="7"/>
        <v>95</v>
      </c>
      <c r="M15" s="341">
        <f t="shared" si="7"/>
        <v>94</v>
      </c>
      <c r="N15" s="341">
        <f t="shared" si="7"/>
        <v>93</v>
      </c>
      <c r="O15" s="341">
        <f t="shared" si="7"/>
        <v>92</v>
      </c>
      <c r="P15" s="341">
        <f t="shared" si="7"/>
        <v>91</v>
      </c>
      <c r="Q15" s="341">
        <f t="shared" si="7"/>
        <v>90</v>
      </c>
      <c r="R15" s="341">
        <f t="shared" si="7"/>
        <v>89</v>
      </c>
      <c r="S15" s="339"/>
      <c r="T15" s="341">
        <f>+R18</f>
        <v>88</v>
      </c>
      <c r="U15" s="341">
        <f>+T18</f>
        <v>85</v>
      </c>
      <c r="V15" s="341">
        <f>+U18</f>
        <v>82</v>
      </c>
      <c r="W15" s="341">
        <f>+V18</f>
        <v>79</v>
      </c>
      <c r="X15" s="339"/>
      <c r="Y15" s="341">
        <f>+W18</f>
        <v>76</v>
      </c>
      <c r="Z15" s="341">
        <f>+Y18</f>
        <v>73</v>
      </c>
      <c r="AA15" s="341">
        <f t="shared" ref="AA15:AB15" si="8">+Z18</f>
        <v>70</v>
      </c>
      <c r="AB15" s="341">
        <f t="shared" si="8"/>
        <v>67</v>
      </c>
      <c r="AC15" s="327"/>
    </row>
    <row r="16" spans="2:29" ht="14" customHeight="1">
      <c r="B16" s="319"/>
      <c r="C16" s="335" t="s">
        <v>178</v>
      </c>
      <c r="D16" s="1058" t="s">
        <v>316</v>
      </c>
      <c r="E16" s="1066" t="s">
        <v>386</v>
      </c>
      <c r="F16" s="324"/>
      <c r="G16" s="1026">
        <v>0</v>
      </c>
      <c r="H16" s="1026">
        <v>0</v>
      </c>
      <c r="I16" s="1026">
        <v>0</v>
      </c>
      <c r="J16" s="1026">
        <v>0</v>
      </c>
      <c r="K16" s="1026">
        <v>0</v>
      </c>
      <c r="L16" s="1026">
        <v>0</v>
      </c>
      <c r="M16" s="1026">
        <v>0</v>
      </c>
      <c r="N16" s="1026">
        <v>0</v>
      </c>
      <c r="O16" s="1026">
        <v>0</v>
      </c>
      <c r="P16" s="1026">
        <v>0</v>
      </c>
      <c r="Q16" s="1026">
        <v>0</v>
      </c>
      <c r="R16" s="1027">
        <v>0</v>
      </c>
      <c r="S16" s="339"/>
      <c r="T16" s="1026">
        <v>0</v>
      </c>
      <c r="U16" s="1026">
        <v>0</v>
      </c>
      <c r="V16" s="1026">
        <v>0</v>
      </c>
      <c r="W16" s="1027">
        <v>0</v>
      </c>
      <c r="X16" s="339"/>
      <c r="Y16" s="1026">
        <v>0</v>
      </c>
      <c r="Z16" s="1026">
        <v>0</v>
      </c>
      <c r="AA16" s="1026">
        <v>0</v>
      </c>
      <c r="AB16" s="1026">
        <v>0</v>
      </c>
      <c r="AC16" s="327"/>
    </row>
    <row r="17" spans="2:30" ht="14" customHeight="1">
      <c r="B17" s="319"/>
      <c r="C17" s="336" t="s">
        <v>81</v>
      </c>
      <c r="D17" s="1059" t="s">
        <v>317</v>
      </c>
      <c r="E17" s="1066" t="s">
        <v>387</v>
      </c>
      <c r="F17" s="324"/>
      <c r="G17" s="1026">
        <v>1</v>
      </c>
      <c r="H17" s="1026">
        <v>1</v>
      </c>
      <c r="I17" s="1026">
        <v>1</v>
      </c>
      <c r="J17" s="1026">
        <v>1</v>
      </c>
      <c r="K17" s="1026">
        <v>1</v>
      </c>
      <c r="L17" s="1026">
        <v>1</v>
      </c>
      <c r="M17" s="1026">
        <v>1</v>
      </c>
      <c r="N17" s="1026">
        <v>1</v>
      </c>
      <c r="O17" s="1026">
        <v>1</v>
      </c>
      <c r="P17" s="1026">
        <v>1</v>
      </c>
      <c r="Q17" s="1026">
        <v>1</v>
      </c>
      <c r="R17" s="1027">
        <v>1</v>
      </c>
      <c r="S17" s="339"/>
      <c r="T17" s="1026">
        <v>3</v>
      </c>
      <c r="U17" s="1026">
        <v>3</v>
      </c>
      <c r="V17" s="1026">
        <v>3</v>
      </c>
      <c r="W17" s="1027">
        <v>3</v>
      </c>
      <c r="X17" s="339"/>
      <c r="Y17" s="1026">
        <v>3</v>
      </c>
      <c r="Z17" s="1026">
        <v>3</v>
      </c>
      <c r="AA17" s="1026">
        <v>3</v>
      </c>
      <c r="AB17" s="1026">
        <v>3</v>
      </c>
      <c r="AC17" s="327"/>
    </row>
    <row r="18" spans="2:30" ht="14" customHeight="1">
      <c r="B18" s="319"/>
      <c r="C18" s="337" t="s">
        <v>179</v>
      </c>
      <c r="D18" s="1060" t="s">
        <v>318</v>
      </c>
      <c r="E18" s="1065" t="s">
        <v>388</v>
      </c>
      <c r="F18" s="324"/>
      <c r="G18" s="342">
        <f t="shared" ref="G18:R18" si="9">G15+G16-G17</f>
        <v>99</v>
      </c>
      <c r="H18" s="342">
        <f t="shared" si="9"/>
        <v>98</v>
      </c>
      <c r="I18" s="342">
        <f t="shared" si="9"/>
        <v>97</v>
      </c>
      <c r="J18" s="342">
        <f t="shared" si="9"/>
        <v>96</v>
      </c>
      <c r="K18" s="342">
        <f t="shared" si="9"/>
        <v>95</v>
      </c>
      <c r="L18" s="342">
        <f t="shared" si="9"/>
        <v>94</v>
      </c>
      <c r="M18" s="342">
        <f t="shared" si="9"/>
        <v>93</v>
      </c>
      <c r="N18" s="342">
        <f t="shared" si="9"/>
        <v>92</v>
      </c>
      <c r="O18" s="342">
        <f t="shared" si="9"/>
        <v>91</v>
      </c>
      <c r="P18" s="342">
        <f t="shared" si="9"/>
        <v>90</v>
      </c>
      <c r="Q18" s="342">
        <f t="shared" si="9"/>
        <v>89</v>
      </c>
      <c r="R18" s="344">
        <f t="shared" si="9"/>
        <v>88</v>
      </c>
      <c r="S18" s="339"/>
      <c r="T18" s="342">
        <f>T15+T16-T17</f>
        <v>85</v>
      </c>
      <c r="U18" s="342">
        <f>U15+U16-U17</f>
        <v>82</v>
      </c>
      <c r="V18" s="342">
        <f>V15+V16-V17</f>
        <v>79</v>
      </c>
      <c r="W18" s="344">
        <f>W15+W16-W17</f>
        <v>76</v>
      </c>
      <c r="X18" s="339"/>
      <c r="Y18" s="342">
        <f>Y15+Y16-Y17</f>
        <v>73</v>
      </c>
      <c r="Z18" s="342">
        <f>Z15+Z16-Z17</f>
        <v>70</v>
      </c>
      <c r="AA18" s="342">
        <f>AA15+AA16-AA17</f>
        <v>67</v>
      </c>
      <c r="AB18" s="342">
        <f>AB15+AB16-AB17</f>
        <v>64</v>
      </c>
      <c r="AC18" s="327"/>
    </row>
    <row r="19" spans="2:30" ht="14" customHeight="1">
      <c r="B19" s="319"/>
      <c r="C19" s="337" t="s">
        <v>180</v>
      </c>
      <c r="D19" s="1060" t="s">
        <v>319</v>
      </c>
      <c r="E19" s="1065" t="s">
        <v>389</v>
      </c>
      <c r="F19" s="324"/>
      <c r="G19" s="342">
        <f t="shared" ref="G19:R19" si="10">(G15+G18)/2</f>
        <v>99.5</v>
      </c>
      <c r="H19" s="342">
        <f t="shared" si="10"/>
        <v>98.5</v>
      </c>
      <c r="I19" s="342">
        <f t="shared" si="10"/>
        <v>97.5</v>
      </c>
      <c r="J19" s="342">
        <f t="shared" si="10"/>
        <v>96.5</v>
      </c>
      <c r="K19" s="342">
        <f t="shared" si="10"/>
        <v>95.5</v>
      </c>
      <c r="L19" s="342">
        <f t="shared" si="10"/>
        <v>94.5</v>
      </c>
      <c r="M19" s="342">
        <f t="shared" si="10"/>
        <v>93.5</v>
      </c>
      <c r="N19" s="342">
        <f t="shared" si="10"/>
        <v>92.5</v>
      </c>
      <c r="O19" s="342">
        <f t="shared" si="10"/>
        <v>91.5</v>
      </c>
      <c r="P19" s="342">
        <f t="shared" si="10"/>
        <v>90.5</v>
      </c>
      <c r="Q19" s="342">
        <f t="shared" si="10"/>
        <v>89.5</v>
      </c>
      <c r="R19" s="344">
        <f t="shared" si="10"/>
        <v>88.5</v>
      </c>
      <c r="S19" s="339"/>
      <c r="T19" s="342">
        <f>(T15+T18)/2</f>
        <v>86.5</v>
      </c>
      <c r="U19" s="342">
        <f>(U15+U18)/2</f>
        <v>83.5</v>
      </c>
      <c r="V19" s="342">
        <f>(V15+V18)/2</f>
        <v>80.5</v>
      </c>
      <c r="W19" s="344">
        <f>(W15+W18)/2</f>
        <v>77.5</v>
      </c>
      <c r="X19" s="339"/>
      <c r="Y19" s="342">
        <f>(Y15+Y18)/2</f>
        <v>74.5</v>
      </c>
      <c r="Z19" s="342">
        <f>(Z15+Z18)/2</f>
        <v>71.5</v>
      </c>
      <c r="AA19" s="342">
        <f>(AA15+AA18)/2</f>
        <v>68.5</v>
      </c>
      <c r="AB19" s="342">
        <f>(AB15+AB18)/2</f>
        <v>65.5</v>
      </c>
      <c r="AC19" s="327"/>
    </row>
    <row r="20" spans="2:30" ht="14" customHeight="1">
      <c r="B20" s="319"/>
      <c r="C20" s="337" t="s">
        <v>181</v>
      </c>
      <c r="D20" s="1060" t="s">
        <v>320</v>
      </c>
      <c r="E20" s="1065" t="s">
        <v>390</v>
      </c>
      <c r="F20" s="324"/>
      <c r="G20" s="1028">
        <v>0.01</v>
      </c>
      <c r="H20" s="1028">
        <v>0.01</v>
      </c>
      <c r="I20" s="1028">
        <v>0.01</v>
      </c>
      <c r="J20" s="1028">
        <v>0.01</v>
      </c>
      <c r="K20" s="1028">
        <v>0.01</v>
      </c>
      <c r="L20" s="1028">
        <v>0.01</v>
      </c>
      <c r="M20" s="1028">
        <v>0.01</v>
      </c>
      <c r="N20" s="1028">
        <v>0.01</v>
      </c>
      <c r="O20" s="1028">
        <v>0.01</v>
      </c>
      <c r="P20" s="1028">
        <v>0.01</v>
      </c>
      <c r="Q20" s="1028">
        <v>0.01</v>
      </c>
      <c r="R20" s="1029">
        <v>0.01</v>
      </c>
      <c r="S20" s="339"/>
      <c r="T20" s="1028">
        <v>0.01</v>
      </c>
      <c r="U20" s="1028">
        <v>0.01</v>
      </c>
      <c r="V20" s="1028">
        <v>0.01</v>
      </c>
      <c r="W20" s="1029">
        <v>0.01</v>
      </c>
      <c r="X20" s="339"/>
      <c r="Y20" s="1028">
        <v>0.01</v>
      </c>
      <c r="Z20" s="1028">
        <v>0.01</v>
      </c>
      <c r="AA20" s="1028">
        <v>0.01</v>
      </c>
      <c r="AB20" s="1028">
        <v>0.01</v>
      </c>
      <c r="AC20" s="327"/>
    </row>
    <row r="21" spans="2:30" ht="14" customHeight="1">
      <c r="B21" s="319"/>
      <c r="C21" s="338" t="s">
        <v>78</v>
      </c>
      <c r="D21" s="1061" t="s">
        <v>321</v>
      </c>
      <c r="E21" s="1065" t="s">
        <v>391</v>
      </c>
      <c r="F21" s="324"/>
      <c r="G21" s="343">
        <f t="shared" ref="G21:R21" si="11">G19*G20/360*30</f>
        <v>8.2916666666666666E-2</v>
      </c>
      <c r="H21" s="343">
        <f t="shared" si="11"/>
        <v>8.2083333333333328E-2</v>
      </c>
      <c r="I21" s="343">
        <f t="shared" si="11"/>
        <v>8.1250000000000003E-2</v>
      </c>
      <c r="J21" s="343">
        <f t="shared" si="11"/>
        <v>8.0416666666666664E-2</v>
      </c>
      <c r="K21" s="343">
        <f t="shared" si="11"/>
        <v>7.9583333333333339E-2</v>
      </c>
      <c r="L21" s="343">
        <f t="shared" si="11"/>
        <v>7.8750000000000001E-2</v>
      </c>
      <c r="M21" s="343">
        <f t="shared" si="11"/>
        <v>7.7916666666666676E-2</v>
      </c>
      <c r="N21" s="343">
        <f t="shared" si="11"/>
        <v>7.7083333333333337E-2</v>
      </c>
      <c r="O21" s="343">
        <f t="shared" si="11"/>
        <v>7.6250000000000012E-2</v>
      </c>
      <c r="P21" s="343">
        <f t="shared" si="11"/>
        <v>7.541666666666666E-2</v>
      </c>
      <c r="Q21" s="343">
        <f t="shared" si="11"/>
        <v>7.4583333333333335E-2</v>
      </c>
      <c r="R21" s="345">
        <f t="shared" si="11"/>
        <v>7.3749999999999996E-2</v>
      </c>
      <c r="S21" s="339"/>
      <c r="T21" s="343">
        <f>T19*T20/360*90</f>
        <v>0.21624999999999997</v>
      </c>
      <c r="U21" s="343">
        <f>U19*U20/360*90</f>
        <v>0.20874999999999999</v>
      </c>
      <c r="V21" s="343">
        <f>V19*V20/360*90</f>
        <v>0.20125000000000004</v>
      </c>
      <c r="W21" s="345">
        <f>W19*W20/360*90</f>
        <v>0.19375000000000001</v>
      </c>
      <c r="X21" s="339"/>
      <c r="Y21" s="343">
        <f>Y19*Y20/360*90</f>
        <v>0.18625</v>
      </c>
      <c r="Z21" s="343">
        <f>Z19*Z20/360*90</f>
        <v>0.17875000000000002</v>
      </c>
      <c r="AA21" s="343">
        <f>AA19*AA20/360*90</f>
        <v>0.17125000000000001</v>
      </c>
      <c r="AB21" s="343">
        <f>AB19*AB20/360*90</f>
        <v>0.16375000000000001</v>
      </c>
      <c r="AC21" s="327"/>
    </row>
    <row r="22" spans="2:30" s="312" customFormat="1" ht="14" customHeight="1" thickBot="1">
      <c r="B22" s="325"/>
      <c r="C22" s="999" t="s">
        <v>306</v>
      </c>
      <c r="D22" s="1056" t="s">
        <v>322</v>
      </c>
      <c r="E22" s="1067" t="s">
        <v>306</v>
      </c>
      <c r="F22" s="324"/>
      <c r="G22" s="314"/>
      <c r="H22" s="314"/>
      <c r="I22" s="314"/>
      <c r="J22" s="314"/>
      <c r="K22" s="314"/>
      <c r="L22" s="314"/>
      <c r="M22" s="314"/>
      <c r="N22" s="314"/>
      <c r="O22" s="314"/>
      <c r="P22" s="314"/>
      <c r="Q22" s="314"/>
      <c r="R22" s="314"/>
      <c r="S22" s="339"/>
      <c r="T22" s="314"/>
      <c r="U22" s="314"/>
      <c r="V22" s="314"/>
      <c r="W22" s="314"/>
      <c r="X22" s="339"/>
      <c r="Y22" s="314"/>
      <c r="Z22" s="315"/>
      <c r="AA22" s="315"/>
      <c r="AB22" s="328"/>
      <c r="AC22" s="328"/>
    </row>
    <row r="23" spans="2:30" ht="14" customHeight="1">
      <c r="B23" s="319"/>
      <c r="C23" s="334" t="s">
        <v>177</v>
      </c>
      <c r="D23" s="1057" t="s">
        <v>315</v>
      </c>
      <c r="E23" s="1065" t="s">
        <v>385</v>
      </c>
      <c r="F23" s="324"/>
      <c r="G23" s="1025">
        <v>0</v>
      </c>
      <c r="H23" s="341">
        <f>+G26</f>
        <v>0</v>
      </c>
      <c r="I23" s="341">
        <f t="shared" ref="I23:R23" si="12">+H26</f>
        <v>0</v>
      </c>
      <c r="J23" s="341">
        <f t="shared" si="12"/>
        <v>0</v>
      </c>
      <c r="K23" s="341">
        <f t="shared" si="12"/>
        <v>0</v>
      </c>
      <c r="L23" s="341">
        <f t="shared" si="12"/>
        <v>0</v>
      </c>
      <c r="M23" s="341">
        <f t="shared" si="12"/>
        <v>0</v>
      </c>
      <c r="N23" s="341">
        <f t="shared" si="12"/>
        <v>0</v>
      </c>
      <c r="O23" s="341">
        <f t="shared" si="12"/>
        <v>0</v>
      </c>
      <c r="P23" s="341">
        <f t="shared" si="12"/>
        <v>0</v>
      </c>
      <c r="Q23" s="341">
        <f t="shared" si="12"/>
        <v>0</v>
      </c>
      <c r="R23" s="341">
        <f t="shared" si="12"/>
        <v>0</v>
      </c>
      <c r="S23" s="339"/>
      <c r="T23" s="341">
        <f>+R26</f>
        <v>0</v>
      </c>
      <c r="U23" s="341">
        <f>+T26</f>
        <v>0</v>
      </c>
      <c r="V23" s="341">
        <f>+U26</f>
        <v>0</v>
      </c>
      <c r="W23" s="341">
        <f>+V26</f>
        <v>0</v>
      </c>
      <c r="X23" s="339"/>
      <c r="Y23" s="341">
        <f>+W26</f>
        <v>0</v>
      </c>
      <c r="Z23" s="341">
        <f>+Y26</f>
        <v>0</v>
      </c>
      <c r="AA23" s="341">
        <f>+Z26</f>
        <v>0</v>
      </c>
      <c r="AB23" s="341">
        <f>+AA26</f>
        <v>0</v>
      </c>
      <c r="AC23" s="327"/>
      <c r="AD23" s="316"/>
    </row>
    <row r="24" spans="2:30" ht="14" customHeight="1">
      <c r="B24" s="319"/>
      <c r="C24" s="335" t="s">
        <v>178</v>
      </c>
      <c r="D24" s="1058" t="s">
        <v>316</v>
      </c>
      <c r="E24" s="1066" t="s">
        <v>386</v>
      </c>
      <c r="F24" s="324"/>
      <c r="G24" s="1026">
        <v>0</v>
      </c>
      <c r="H24" s="1026">
        <v>0</v>
      </c>
      <c r="I24" s="1026">
        <v>0</v>
      </c>
      <c r="J24" s="1026">
        <v>0</v>
      </c>
      <c r="K24" s="1026">
        <v>0</v>
      </c>
      <c r="L24" s="1026">
        <v>0</v>
      </c>
      <c r="M24" s="1026">
        <v>0</v>
      </c>
      <c r="N24" s="1026">
        <v>0</v>
      </c>
      <c r="O24" s="1026">
        <v>0</v>
      </c>
      <c r="P24" s="1026">
        <v>0</v>
      </c>
      <c r="Q24" s="1026">
        <v>0</v>
      </c>
      <c r="R24" s="1027">
        <v>0</v>
      </c>
      <c r="S24" s="339"/>
      <c r="T24" s="1026">
        <v>0</v>
      </c>
      <c r="U24" s="1026">
        <v>0</v>
      </c>
      <c r="V24" s="1026">
        <v>0</v>
      </c>
      <c r="W24" s="1027">
        <v>0</v>
      </c>
      <c r="X24" s="339"/>
      <c r="Y24" s="1026">
        <v>0</v>
      </c>
      <c r="Z24" s="1026">
        <v>0</v>
      </c>
      <c r="AA24" s="1026">
        <v>0</v>
      </c>
      <c r="AB24" s="1026">
        <v>0</v>
      </c>
      <c r="AC24" s="327"/>
      <c r="AD24" s="319"/>
    </row>
    <row r="25" spans="2:30" ht="14" customHeight="1">
      <c r="B25" s="319"/>
      <c r="C25" s="336" t="s">
        <v>81</v>
      </c>
      <c r="D25" s="1059" t="s">
        <v>317</v>
      </c>
      <c r="E25" s="1066" t="s">
        <v>387</v>
      </c>
      <c r="F25" s="1062"/>
      <c r="G25" s="1026">
        <v>0</v>
      </c>
      <c r="H25" s="1026">
        <v>0</v>
      </c>
      <c r="I25" s="1026">
        <v>0</v>
      </c>
      <c r="J25" s="1026">
        <v>0</v>
      </c>
      <c r="K25" s="1026">
        <v>0</v>
      </c>
      <c r="L25" s="1026">
        <v>0</v>
      </c>
      <c r="M25" s="1026">
        <v>0</v>
      </c>
      <c r="N25" s="1026">
        <v>0</v>
      </c>
      <c r="O25" s="1026">
        <v>0</v>
      </c>
      <c r="P25" s="1026">
        <v>0</v>
      </c>
      <c r="Q25" s="1026">
        <v>0</v>
      </c>
      <c r="R25" s="1027">
        <v>0</v>
      </c>
      <c r="S25" s="339"/>
      <c r="T25" s="1026">
        <v>0</v>
      </c>
      <c r="U25" s="1026">
        <v>0</v>
      </c>
      <c r="V25" s="1026">
        <v>0</v>
      </c>
      <c r="W25" s="1027">
        <v>0</v>
      </c>
      <c r="X25" s="339"/>
      <c r="Y25" s="1026">
        <v>0</v>
      </c>
      <c r="Z25" s="1026">
        <v>0</v>
      </c>
      <c r="AA25" s="1026">
        <v>0</v>
      </c>
      <c r="AB25" s="1026">
        <v>0</v>
      </c>
      <c r="AC25" s="327"/>
    </row>
    <row r="26" spans="2:30" ht="14" customHeight="1">
      <c r="B26" s="319"/>
      <c r="C26" s="337" t="s">
        <v>179</v>
      </c>
      <c r="D26" s="1060" t="s">
        <v>318</v>
      </c>
      <c r="E26" s="1065" t="s">
        <v>388</v>
      </c>
      <c r="F26" s="324"/>
      <c r="G26" s="342">
        <f t="shared" ref="G26:R26" si="13">G23+G24-G25</f>
        <v>0</v>
      </c>
      <c r="H26" s="342">
        <f t="shared" si="13"/>
        <v>0</v>
      </c>
      <c r="I26" s="342">
        <f t="shared" si="13"/>
        <v>0</v>
      </c>
      <c r="J26" s="342">
        <f t="shared" si="13"/>
        <v>0</v>
      </c>
      <c r="K26" s="342">
        <f t="shared" si="13"/>
        <v>0</v>
      </c>
      <c r="L26" s="342">
        <f t="shared" si="13"/>
        <v>0</v>
      </c>
      <c r="M26" s="342">
        <f t="shared" si="13"/>
        <v>0</v>
      </c>
      <c r="N26" s="342">
        <f t="shared" si="13"/>
        <v>0</v>
      </c>
      <c r="O26" s="342">
        <f t="shared" si="13"/>
        <v>0</v>
      </c>
      <c r="P26" s="342">
        <f t="shared" si="13"/>
        <v>0</v>
      </c>
      <c r="Q26" s="342">
        <f t="shared" si="13"/>
        <v>0</v>
      </c>
      <c r="R26" s="344">
        <f t="shared" si="13"/>
        <v>0</v>
      </c>
      <c r="S26" s="339"/>
      <c r="T26" s="342">
        <f>T23+T24-T25</f>
        <v>0</v>
      </c>
      <c r="U26" s="342">
        <f>U23+U24-U25</f>
        <v>0</v>
      </c>
      <c r="V26" s="342">
        <f>V23+V24-V25</f>
        <v>0</v>
      </c>
      <c r="W26" s="344">
        <f>W23+W24-W25</f>
        <v>0</v>
      </c>
      <c r="X26" s="339"/>
      <c r="Y26" s="342">
        <f>Y23+Y24-Y25</f>
        <v>0</v>
      </c>
      <c r="Z26" s="342">
        <f>Z23+Z24-Z25</f>
        <v>0</v>
      </c>
      <c r="AA26" s="342">
        <f>AA23+AA24-AA25</f>
        <v>0</v>
      </c>
      <c r="AB26" s="342">
        <f>AB23+AB24-AB25</f>
        <v>0</v>
      </c>
      <c r="AC26" s="327"/>
    </row>
    <row r="27" spans="2:30" ht="14" customHeight="1">
      <c r="B27" s="319"/>
      <c r="C27" s="337" t="s">
        <v>180</v>
      </c>
      <c r="D27" s="1060" t="s">
        <v>319</v>
      </c>
      <c r="E27" s="1065" t="s">
        <v>389</v>
      </c>
      <c r="F27" s="324"/>
      <c r="G27" s="342">
        <f t="shared" ref="G27:R27" si="14">(G23+G26)/2</f>
        <v>0</v>
      </c>
      <c r="H27" s="342">
        <f t="shared" si="14"/>
        <v>0</v>
      </c>
      <c r="I27" s="342">
        <f t="shared" si="14"/>
        <v>0</v>
      </c>
      <c r="J27" s="342">
        <f t="shared" si="14"/>
        <v>0</v>
      </c>
      <c r="K27" s="342">
        <f t="shared" si="14"/>
        <v>0</v>
      </c>
      <c r="L27" s="342">
        <f t="shared" si="14"/>
        <v>0</v>
      </c>
      <c r="M27" s="342">
        <f t="shared" si="14"/>
        <v>0</v>
      </c>
      <c r="N27" s="342">
        <f t="shared" si="14"/>
        <v>0</v>
      </c>
      <c r="O27" s="342">
        <f t="shared" si="14"/>
        <v>0</v>
      </c>
      <c r="P27" s="342">
        <f t="shared" si="14"/>
        <v>0</v>
      </c>
      <c r="Q27" s="342">
        <f t="shared" si="14"/>
        <v>0</v>
      </c>
      <c r="R27" s="344">
        <f t="shared" si="14"/>
        <v>0</v>
      </c>
      <c r="S27" s="339"/>
      <c r="T27" s="342">
        <f>(T23+T26)/2</f>
        <v>0</v>
      </c>
      <c r="U27" s="342">
        <f>(U23+U26)/2</f>
        <v>0</v>
      </c>
      <c r="V27" s="342">
        <f>(V23+V26)/2</f>
        <v>0</v>
      </c>
      <c r="W27" s="344">
        <f>(W23+W26)/2</f>
        <v>0</v>
      </c>
      <c r="X27" s="339"/>
      <c r="Y27" s="342">
        <f>(Y23+Y26)/2</f>
        <v>0</v>
      </c>
      <c r="Z27" s="342">
        <f>(Z23+Z26)/2</f>
        <v>0</v>
      </c>
      <c r="AA27" s="342">
        <f>(AA23+AA26)/2</f>
        <v>0</v>
      </c>
      <c r="AB27" s="342">
        <f>(AB23+AB26)/2</f>
        <v>0</v>
      </c>
      <c r="AC27" s="327"/>
    </row>
    <row r="28" spans="2:30" ht="14" customHeight="1">
      <c r="B28" s="319"/>
      <c r="C28" s="337" t="s">
        <v>181</v>
      </c>
      <c r="D28" s="1060" t="s">
        <v>320</v>
      </c>
      <c r="E28" s="1065" t="s">
        <v>390</v>
      </c>
      <c r="F28" s="324"/>
      <c r="G28" s="1028">
        <v>0.01</v>
      </c>
      <c r="H28" s="1028">
        <v>0.01</v>
      </c>
      <c r="I28" s="1028">
        <v>0.01</v>
      </c>
      <c r="J28" s="1028">
        <v>0.01</v>
      </c>
      <c r="K28" s="1028">
        <v>0.01</v>
      </c>
      <c r="L28" s="1028">
        <v>0.01</v>
      </c>
      <c r="M28" s="1028">
        <v>0.01</v>
      </c>
      <c r="N28" s="1028">
        <v>0.01</v>
      </c>
      <c r="O28" s="1028">
        <v>0.01</v>
      </c>
      <c r="P28" s="1028">
        <f>+O28</f>
        <v>0.01</v>
      </c>
      <c r="Q28" s="1028">
        <f>+P28</f>
        <v>0.01</v>
      </c>
      <c r="R28" s="1029">
        <f>+Q28</f>
        <v>0.01</v>
      </c>
      <c r="S28" s="339"/>
      <c r="T28" s="1028">
        <f>+R28</f>
        <v>0.01</v>
      </c>
      <c r="U28" s="1028">
        <f>+T28</f>
        <v>0.01</v>
      </c>
      <c r="V28" s="1028">
        <f>+U28</f>
        <v>0.01</v>
      </c>
      <c r="W28" s="1029">
        <f>+V28</f>
        <v>0.01</v>
      </c>
      <c r="X28" s="339"/>
      <c r="Y28" s="1028">
        <f>+W28</f>
        <v>0.01</v>
      </c>
      <c r="Z28" s="1028">
        <f>+Y28</f>
        <v>0.01</v>
      </c>
      <c r="AA28" s="1028">
        <f>+Z28</f>
        <v>0.01</v>
      </c>
      <c r="AB28" s="1028">
        <f>+AA28</f>
        <v>0.01</v>
      </c>
      <c r="AC28" s="327"/>
    </row>
    <row r="29" spans="2:30" ht="14" customHeight="1">
      <c r="B29" s="319"/>
      <c r="C29" s="338" t="s">
        <v>78</v>
      </c>
      <c r="D29" s="1061" t="s">
        <v>321</v>
      </c>
      <c r="E29" s="1065" t="s">
        <v>391</v>
      </c>
      <c r="F29" s="324"/>
      <c r="G29" s="343">
        <f t="shared" ref="G29:R29" si="15">G27*G28/360*30</f>
        <v>0</v>
      </c>
      <c r="H29" s="343">
        <f t="shared" si="15"/>
        <v>0</v>
      </c>
      <c r="I29" s="343">
        <f t="shared" si="15"/>
        <v>0</v>
      </c>
      <c r="J29" s="343">
        <f t="shared" si="15"/>
        <v>0</v>
      </c>
      <c r="K29" s="343">
        <f t="shared" si="15"/>
        <v>0</v>
      </c>
      <c r="L29" s="343">
        <f t="shared" si="15"/>
        <v>0</v>
      </c>
      <c r="M29" s="343">
        <f t="shared" si="15"/>
        <v>0</v>
      </c>
      <c r="N29" s="343">
        <f t="shared" si="15"/>
        <v>0</v>
      </c>
      <c r="O29" s="343">
        <f t="shared" si="15"/>
        <v>0</v>
      </c>
      <c r="P29" s="343">
        <f t="shared" si="15"/>
        <v>0</v>
      </c>
      <c r="Q29" s="343">
        <f t="shared" si="15"/>
        <v>0</v>
      </c>
      <c r="R29" s="345">
        <f t="shared" si="15"/>
        <v>0</v>
      </c>
      <c r="S29" s="339"/>
      <c r="T29" s="343">
        <f>T27*T28/360*90</f>
        <v>0</v>
      </c>
      <c r="U29" s="343">
        <f>U27*U28/360*90</f>
        <v>0</v>
      </c>
      <c r="V29" s="343">
        <f>V27*V28/360*90</f>
        <v>0</v>
      </c>
      <c r="W29" s="345">
        <f>W27*W28/360*90</f>
        <v>0</v>
      </c>
      <c r="X29" s="339"/>
      <c r="Y29" s="343">
        <f>Y27*Y28/360*90</f>
        <v>0</v>
      </c>
      <c r="Z29" s="343">
        <f>Z27*Z28/360*90</f>
        <v>0</v>
      </c>
      <c r="AA29" s="343">
        <f>AA27*AA28/360*90</f>
        <v>0</v>
      </c>
      <c r="AB29" s="343">
        <f>AB27*AB28/360*90</f>
        <v>0</v>
      </c>
      <c r="AC29" s="327"/>
    </row>
    <row r="30" spans="2:30" s="312" customFormat="1" ht="14" customHeight="1" thickBot="1">
      <c r="B30" s="325"/>
      <c r="C30" s="999" t="s">
        <v>95</v>
      </c>
      <c r="D30" s="1056" t="s">
        <v>323</v>
      </c>
      <c r="E30" s="1067" t="s">
        <v>392</v>
      </c>
      <c r="F30" s="324"/>
      <c r="G30" s="314"/>
      <c r="H30" s="314"/>
      <c r="I30" s="314"/>
      <c r="J30" s="314"/>
      <c r="K30" s="314"/>
      <c r="L30" s="314"/>
      <c r="M30" s="314"/>
      <c r="N30" s="314"/>
      <c r="O30" s="314"/>
      <c r="P30" s="314"/>
      <c r="Q30" s="314"/>
      <c r="R30" s="314"/>
      <c r="S30" s="339"/>
      <c r="T30" s="314"/>
      <c r="U30" s="314"/>
      <c r="V30" s="314"/>
      <c r="W30" s="314"/>
      <c r="X30" s="339"/>
      <c r="Y30" s="314"/>
      <c r="Z30" s="315"/>
      <c r="AA30" s="315"/>
      <c r="AB30" s="328"/>
      <c r="AC30" s="328"/>
    </row>
    <row r="31" spans="2:30" ht="14" customHeight="1">
      <c r="B31" s="319"/>
      <c r="C31" s="334" t="s">
        <v>177</v>
      </c>
      <c r="D31" s="1057" t="s">
        <v>315</v>
      </c>
      <c r="E31" s="1065" t="s">
        <v>385</v>
      </c>
      <c r="F31" s="324"/>
      <c r="G31" s="1025">
        <v>0</v>
      </c>
      <c r="H31" s="341">
        <f t="shared" ref="H31:R31" si="16">+G34+G37</f>
        <v>0</v>
      </c>
      <c r="I31" s="341">
        <f t="shared" si="16"/>
        <v>0</v>
      </c>
      <c r="J31" s="341">
        <f t="shared" si="16"/>
        <v>0</v>
      </c>
      <c r="K31" s="341">
        <f t="shared" si="16"/>
        <v>0</v>
      </c>
      <c r="L31" s="341">
        <f t="shared" si="16"/>
        <v>0</v>
      </c>
      <c r="M31" s="341">
        <f t="shared" si="16"/>
        <v>0</v>
      </c>
      <c r="N31" s="341">
        <f t="shared" si="16"/>
        <v>0</v>
      </c>
      <c r="O31" s="341">
        <f t="shared" si="16"/>
        <v>0</v>
      </c>
      <c r="P31" s="341">
        <f t="shared" si="16"/>
        <v>0</v>
      </c>
      <c r="Q31" s="341">
        <f t="shared" si="16"/>
        <v>0</v>
      </c>
      <c r="R31" s="341">
        <f t="shared" si="16"/>
        <v>0</v>
      </c>
      <c r="S31" s="339"/>
      <c r="T31" s="341">
        <f>+R34</f>
        <v>0</v>
      </c>
      <c r="U31" s="341">
        <f>+T34</f>
        <v>0</v>
      </c>
      <c r="V31" s="341">
        <f>+U34</f>
        <v>0</v>
      </c>
      <c r="W31" s="341">
        <f>+V34</f>
        <v>0</v>
      </c>
      <c r="X31" s="339"/>
      <c r="Y31" s="341">
        <f>+W34</f>
        <v>0</v>
      </c>
      <c r="Z31" s="341">
        <f>+Y34</f>
        <v>0</v>
      </c>
      <c r="AA31" s="341">
        <f>+Z34</f>
        <v>0</v>
      </c>
      <c r="AB31" s="341">
        <f>+AA34</f>
        <v>0</v>
      </c>
      <c r="AC31" s="327"/>
    </row>
    <row r="32" spans="2:30" ht="14" customHeight="1">
      <c r="B32" s="319"/>
      <c r="C32" s="335" t="s">
        <v>178</v>
      </c>
      <c r="D32" s="1058" t="s">
        <v>316</v>
      </c>
      <c r="E32" s="1066" t="s">
        <v>386</v>
      </c>
      <c r="F32" s="324"/>
      <c r="G32" s="1026">
        <v>0</v>
      </c>
      <c r="H32" s="1026">
        <v>0</v>
      </c>
      <c r="I32" s="1026">
        <v>0</v>
      </c>
      <c r="J32" s="1026">
        <v>0</v>
      </c>
      <c r="K32" s="1026">
        <v>0</v>
      </c>
      <c r="L32" s="1026">
        <v>0</v>
      </c>
      <c r="M32" s="1026">
        <v>0</v>
      </c>
      <c r="N32" s="1026">
        <v>0</v>
      </c>
      <c r="O32" s="1026">
        <v>0</v>
      </c>
      <c r="P32" s="1026">
        <v>0</v>
      </c>
      <c r="Q32" s="1026">
        <v>0</v>
      </c>
      <c r="R32" s="1027">
        <v>0</v>
      </c>
      <c r="S32" s="339"/>
      <c r="T32" s="1026">
        <v>0</v>
      </c>
      <c r="U32" s="1026">
        <v>0</v>
      </c>
      <c r="V32" s="1026">
        <v>0</v>
      </c>
      <c r="W32" s="1027">
        <v>0</v>
      </c>
      <c r="X32" s="339"/>
      <c r="Y32" s="1026">
        <v>0</v>
      </c>
      <c r="Z32" s="1026">
        <v>0</v>
      </c>
      <c r="AA32" s="1026">
        <v>0</v>
      </c>
      <c r="AB32" s="1026">
        <v>0</v>
      </c>
      <c r="AC32" s="327"/>
    </row>
    <row r="33" spans="2:29" ht="14" customHeight="1">
      <c r="B33" s="319"/>
      <c r="C33" s="336" t="s">
        <v>81</v>
      </c>
      <c r="D33" s="1059" t="s">
        <v>317</v>
      </c>
      <c r="E33" s="1066" t="s">
        <v>387</v>
      </c>
      <c r="F33" s="324"/>
      <c r="G33" s="1026">
        <v>0</v>
      </c>
      <c r="H33" s="1026">
        <v>0</v>
      </c>
      <c r="I33" s="1026">
        <v>0</v>
      </c>
      <c r="J33" s="1026">
        <v>0</v>
      </c>
      <c r="K33" s="1026">
        <v>0</v>
      </c>
      <c r="L33" s="1026">
        <v>0</v>
      </c>
      <c r="M33" s="1026">
        <v>0</v>
      </c>
      <c r="N33" s="1026">
        <v>0</v>
      </c>
      <c r="O33" s="1026">
        <v>0</v>
      </c>
      <c r="P33" s="1026">
        <v>0</v>
      </c>
      <c r="Q33" s="1026">
        <v>0</v>
      </c>
      <c r="R33" s="1027">
        <v>0</v>
      </c>
      <c r="S33" s="339"/>
      <c r="T33" s="1026">
        <v>0</v>
      </c>
      <c r="U33" s="1026">
        <v>0</v>
      </c>
      <c r="V33" s="1026">
        <v>0</v>
      </c>
      <c r="W33" s="1027">
        <v>0</v>
      </c>
      <c r="X33" s="339"/>
      <c r="Y33" s="1026">
        <v>0</v>
      </c>
      <c r="Z33" s="1026">
        <v>0</v>
      </c>
      <c r="AA33" s="1026">
        <v>0</v>
      </c>
      <c r="AB33" s="1026">
        <v>0</v>
      </c>
      <c r="AC33" s="327"/>
    </row>
    <row r="34" spans="2:29" ht="14" customHeight="1">
      <c r="B34" s="319"/>
      <c r="C34" s="337" t="s">
        <v>179</v>
      </c>
      <c r="D34" s="1060" t="s">
        <v>318</v>
      </c>
      <c r="E34" s="1065" t="s">
        <v>388</v>
      </c>
      <c r="F34" s="324"/>
      <c r="G34" s="342">
        <f t="shared" ref="G34:R34" si="17">G31+G32-G33</f>
        <v>0</v>
      </c>
      <c r="H34" s="342">
        <f t="shared" si="17"/>
        <v>0</v>
      </c>
      <c r="I34" s="342">
        <f t="shared" si="17"/>
        <v>0</v>
      </c>
      <c r="J34" s="342">
        <f t="shared" si="17"/>
        <v>0</v>
      </c>
      <c r="K34" s="342">
        <f t="shared" si="17"/>
        <v>0</v>
      </c>
      <c r="L34" s="342">
        <f t="shared" si="17"/>
        <v>0</v>
      </c>
      <c r="M34" s="342">
        <f t="shared" si="17"/>
        <v>0</v>
      </c>
      <c r="N34" s="342">
        <f t="shared" si="17"/>
        <v>0</v>
      </c>
      <c r="O34" s="342">
        <f t="shared" si="17"/>
        <v>0</v>
      </c>
      <c r="P34" s="342">
        <f t="shared" si="17"/>
        <v>0</v>
      </c>
      <c r="Q34" s="342">
        <f t="shared" si="17"/>
        <v>0</v>
      </c>
      <c r="R34" s="344">
        <f t="shared" si="17"/>
        <v>0</v>
      </c>
      <c r="S34" s="339"/>
      <c r="T34" s="342">
        <f>T31+T32-T33</f>
        <v>0</v>
      </c>
      <c r="U34" s="342">
        <f>U31+U32-U33</f>
        <v>0</v>
      </c>
      <c r="V34" s="342">
        <f>V31+V32-V33</f>
        <v>0</v>
      </c>
      <c r="W34" s="344">
        <f>W31+W32-W33</f>
        <v>0</v>
      </c>
      <c r="X34" s="339"/>
      <c r="Y34" s="342">
        <f>Y31+Y32-Y33</f>
        <v>0</v>
      </c>
      <c r="Z34" s="342">
        <f>Z31+Z32-Z33</f>
        <v>0</v>
      </c>
      <c r="AA34" s="342">
        <f>AA31+AA32-AA33</f>
        <v>0</v>
      </c>
      <c r="AB34" s="342">
        <f>AB31+AB32-AB33</f>
        <v>0</v>
      </c>
      <c r="AC34" s="327"/>
    </row>
    <row r="35" spans="2:29" ht="14" customHeight="1">
      <c r="B35" s="319"/>
      <c r="C35" s="337" t="s">
        <v>180</v>
      </c>
      <c r="D35" s="1060" t="s">
        <v>319</v>
      </c>
      <c r="E35" s="1065" t="s">
        <v>389</v>
      </c>
      <c r="F35" s="324"/>
      <c r="G35" s="342">
        <f t="shared" ref="G35:R35" si="18">(G31+G34)/2</f>
        <v>0</v>
      </c>
      <c r="H35" s="342">
        <f t="shared" si="18"/>
        <v>0</v>
      </c>
      <c r="I35" s="342">
        <f t="shared" si="18"/>
        <v>0</v>
      </c>
      <c r="J35" s="342">
        <f t="shared" si="18"/>
        <v>0</v>
      </c>
      <c r="K35" s="342">
        <f t="shared" si="18"/>
        <v>0</v>
      </c>
      <c r="L35" s="342">
        <f t="shared" si="18"/>
        <v>0</v>
      </c>
      <c r="M35" s="342">
        <f t="shared" si="18"/>
        <v>0</v>
      </c>
      <c r="N35" s="342">
        <f t="shared" si="18"/>
        <v>0</v>
      </c>
      <c r="O35" s="342">
        <f t="shared" si="18"/>
        <v>0</v>
      </c>
      <c r="P35" s="342">
        <f t="shared" si="18"/>
        <v>0</v>
      </c>
      <c r="Q35" s="342">
        <f t="shared" si="18"/>
        <v>0</v>
      </c>
      <c r="R35" s="344">
        <f t="shared" si="18"/>
        <v>0</v>
      </c>
      <c r="S35" s="339"/>
      <c r="T35" s="342">
        <f>(T31+T34)/2</f>
        <v>0</v>
      </c>
      <c r="U35" s="342">
        <f>(U31+U34)/2</f>
        <v>0</v>
      </c>
      <c r="V35" s="342">
        <f>(V31+V34)/2</f>
        <v>0</v>
      </c>
      <c r="W35" s="344">
        <f>(W31+W34)/2</f>
        <v>0</v>
      </c>
      <c r="X35" s="339"/>
      <c r="Y35" s="342">
        <f>(Y31+Y34)/2</f>
        <v>0</v>
      </c>
      <c r="Z35" s="342">
        <f>(Z31+Z34)/2</f>
        <v>0</v>
      </c>
      <c r="AA35" s="342">
        <f>(AA31+AA34)/2</f>
        <v>0</v>
      </c>
      <c r="AB35" s="342">
        <f>(AB31+AB34)/2</f>
        <v>0</v>
      </c>
      <c r="AC35" s="327"/>
    </row>
    <row r="36" spans="2:29" ht="14" customHeight="1">
      <c r="B36" s="319"/>
      <c r="C36" s="337" t="s">
        <v>181</v>
      </c>
      <c r="D36" s="1060" t="s">
        <v>320</v>
      </c>
      <c r="E36" s="1065" t="s">
        <v>390</v>
      </c>
      <c r="F36" s="324"/>
      <c r="G36" s="1028">
        <v>0.01</v>
      </c>
      <c r="H36" s="1028">
        <f>+G36</f>
        <v>0.01</v>
      </c>
      <c r="I36" s="1028">
        <f t="shared" ref="I36:R36" si="19">+H36</f>
        <v>0.01</v>
      </c>
      <c r="J36" s="1028">
        <f t="shared" si="19"/>
        <v>0.01</v>
      </c>
      <c r="K36" s="1028">
        <f t="shared" si="19"/>
        <v>0.01</v>
      </c>
      <c r="L36" s="1028">
        <f t="shared" si="19"/>
        <v>0.01</v>
      </c>
      <c r="M36" s="1028">
        <f t="shared" si="19"/>
        <v>0.01</v>
      </c>
      <c r="N36" s="1028">
        <f t="shared" si="19"/>
        <v>0.01</v>
      </c>
      <c r="O36" s="1028">
        <f t="shared" si="19"/>
        <v>0.01</v>
      </c>
      <c r="P36" s="1028">
        <f t="shared" si="19"/>
        <v>0.01</v>
      </c>
      <c r="Q36" s="1028">
        <f t="shared" si="19"/>
        <v>0.01</v>
      </c>
      <c r="R36" s="1029">
        <f t="shared" si="19"/>
        <v>0.01</v>
      </c>
      <c r="S36" s="339"/>
      <c r="T36" s="1028">
        <v>0.01</v>
      </c>
      <c r="U36" s="1028">
        <v>0.01</v>
      </c>
      <c r="V36" s="1028">
        <v>0.01</v>
      </c>
      <c r="W36" s="1029">
        <v>0.01</v>
      </c>
      <c r="X36" s="339"/>
      <c r="Y36" s="1028">
        <v>0.01</v>
      </c>
      <c r="Z36" s="1028">
        <v>0.01</v>
      </c>
      <c r="AA36" s="1028">
        <v>0.01</v>
      </c>
      <c r="AB36" s="1028">
        <v>0.01</v>
      </c>
      <c r="AC36" s="327"/>
    </row>
    <row r="37" spans="2:29" ht="14" customHeight="1">
      <c r="B37" s="319"/>
      <c r="C37" s="338" t="s">
        <v>78</v>
      </c>
      <c r="D37" s="1061" t="s">
        <v>321</v>
      </c>
      <c r="E37" s="1068" t="s">
        <v>391</v>
      </c>
      <c r="F37" s="324"/>
      <c r="G37" s="343">
        <f t="shared" ref="G37:R37" si="20">G35*G36/360*30</f>
        <v>0</v>
      </c>
      <c r="H37" s="343">
        <f t="shared" si="20"/>
        <v>0</v>
      </c>
      <c r="I37" s="343">
        <f t="shared" si="20"/>
        <v>0</v>
      </c>
      <c r="J37" s="343">
        <f t="shared" si="20"/>
        <v>0</v>
      </c>
      <c r="K37" s="343">
        <f t="shared" si="20"/>
        <v>0</v>
      </c>
      <c r="L37" s="343">
        <f t="shared" si="20"/>
        <v>0</v>
      </c>
      <c r="M37" s="343">
        <f t="shared" si="20"/>
        <v>0</v>
      </c>
      <c r="N37" s="343">
        <f t="shared" si="20"/>
        <v>0</v>
      </c>
      <c r="O37" s="343">
        <f t="shared" si="20"/>
        <v>0</v>
      </c>
      <c r="P37" s="343">
        <f t="shared" si="20"/>
        <v>0</v>
      </c>
      <c r="Q37" s="343">
        <f t="shared" si="20"/>
        <v>0</v>
      </c>
      <c r="R37" s="345">
        <f t="shared" si="20"/>
        <v>0</v>
      </c>
      <c r="S37" s="339"/>
      <c r="T37" s="343">
        <f>T35*T36/360*90</f>
        <v>0</v>
      </c>
      <c r="U37" s="343">
        <f>U35*U36/360*90</f>
        <v>0</v>
      </c>
      <c r="V37" s="343">
        <f>V35*V36/360*90</f>
        <v>0</v>
      </c>
      <c r="W37" s="345">
        <f>W35*W36/360*90</f>
        <v>0</v>
      </c>
      <c r="X37" s="339"/>
      <c r="Y37" s="343">
        <f>Y35*Y36/360*90</f>
        <v>0</v>
      </c>
      <c r="Z37" s="343">
        <f>Z35*Z36/360*90</f>
        <v>0</v>
      </c>
      <c r="AA37" s="343">
        <f>AA35*AA36/360*90</f>
        <v>0</v>
      </c>
      <c r="AB37" s="343">
        <f>AB35*AB36/360*90</f>
        <v>0</v>
      </c>
      <c r="AC37" s="327"/>
    </row>
    <row r="38" spans="2:29" s="312" customFormat="1" ht="14" customHeight="1">
      <c r="B38" s="325"/>
      <c r="C38" s="999" t="s">
        <v>80</v>
      </c>
      <c r="D38" s="999" t="s">
        <v>324</v>
      </c>
      <c r="E38" s="1063" t="s">
        <v>80</v>
      </c>
      <c r="F38" s="339"/>
      <c r="G38" s="1000">
        <f>G13+G21+G29+G37</f>
        <v>8.2916666666666666E-2</v>
      </c>
      <c r="H38" s="1001">
        <f t="shared" ref="H38:R38" si="21">H13+H21+H29+H37</f>
        <v>8.2083333333333328E-2</v>
      </c>
      <c r="I38" s="1001">
        <f t="shared" si="21"/>
        <v>8.1250000000000003E-2</v>
      </c>
      <c r="J38" s="1001">
        <f t="shared" si="21"/>
        <v>8.0416666666666664E-2</v>
      </c>
      <c r="K38" s="1001">
        <f t="shared" si="21"/>
        <v>7.9583333333333339E-2</v>
      </c>
      <c r="L38" s="1001">
        <f t="shared" si="21"/>
        <v>7.8750000000000001E-2</v>
      </c>
      <c r="M38" s="1001">
        <f t="shared" si="21"/>
        <v>7.7916666666666676E-2</v>
      </c>
      <c r="N38" s="1001">
        <f t="shared" si="21"/>
        <v>7.7083333333333337E-2</v>
      </c>
      <c r="O38" s="1001">
        <f t="shared" si="21"/>
        <v>7.6250000000000012E-2</v>
      </c>
      <c r="P38" s="1001">
        <f t="shared" si="21"/>
        <v>7.541666666666666E-2</v>
      </c>
      <c r="Q38" s="1001">
        <f t="shared" si="21"/>
        <v>7.4583333333333335E-2</v>
      </c>
      <c r="R38" s="1001">
        <f t="shared" si="21"/>
        <v>7.3749999999999996E-2</v>
      </c>
      <c r="S38" s="339"/>
      <c r="T38" s="1001">
        <f>T13+T21+T29+T37</f>
        <v>0.21624999999999997</v>
      </c>
      <c r="U38" s="1001">
        <f>U13+U21+U29+U37</f>
        <v>0.20874999999999999</v>
      </c>
      <c r="V38" s="1001">
        <f>V13+V21+V29+V37</f>
        <v>0.20125000000000004</v>
      </c>
      <c r="W38" s="1001">
        <f>W13+W21+W29+W37</f>
        <v>0.19375000000000001</v>
      </c>
      <c r="X38" s="339"/>
      <c r="Y38" s="1001">
        <f>Y13+Y21+Y29+Y37</f>
        <v>0.18625</v>
      </c>
      <c r="Z38" s="1001">
        <f>Z13+Z21+Z29+Z37</f>
        <v>0.17875000000000002</v>
      </c>
      <c r="AA38" s="1001">
        <f>AA13+AA21+AA29+AA37</f>
        <v>0.17125000000000001</v>
      </c>
      <c r="AB38" s="1002">
        <f>AB13+AB21+AB29+AB37</f>
        <v>0.16375000000000001</v>
      </c>
      <c r="AC38" s="328"/>
    </row>
    <row r="39" spans="2:29" ht="14" customHeight="1">
      <c r="B39" s="319"/>
      <c r="C39" s="999" t="s">
        <v>82</v>
      </c>
      <c r="D39" s="999" t="s">
        <v>326</v>
      </c>
      <c r="E39" s="999" t="s">
        <v>82</v>
      </c>
      <c r="F39" s="340"/>
      <c r="G39" s="1000">
        <f>+G33+G9+G17+G25</f>
        <v>1</v>
      </c>
      <c r="H39" s="1001">
        <f t="shared" ref="H39:AB39" si="22">+H33+H9+H17+H25</f>
        <v>1</v>
      </c>
      <c r="I39" s="1001">
        <f t="shared" si="22"/>
        <v>1</v>
      </c>
      <c r="J39" s="1001">
        <f t="shared" si="22"/>
        <v>1</v>
      </c>
      <c r="K39" s="1001">
        <f t="shared" si="22"/>
        <v>1</v>
      </c>
      <c r="L39" s="1001">
        <f t="shared" si="22"/>
        <v>1</v>
      </c>
      <c r="M39" s="1001">
        <f t="shared" si="22"/>
        <v>1</v>
      </c>
      <c r="N39" s="1001">
        <f t="shared" si="22"/>
        <v>1</v>
      </c>
      <c r="O39" s="1001">
        <f t="shared" si="22"/>
        <v>1</v>
      </c>
      <c r="P39" s="1001">
        <f t="shared" si="22"/>
        <v>1</v>
      </c>
      <c r="Q39" s="1001">
        <f t="shared" si="22"/>
        <v>1</v>
      </c>
      <c r="R39" s="1001">
        <f t="shared" si="22"/>
        <v>1</v>
      </c>
      <c r="S39" s="340"/>
      <c r="T39" s="1001">
        <f t="shared" si="22"/>
        <v>3</v>
      </c>
      <c r="U39" s="1001">
        <f t="shared" si="22"/>
        <v>3</v>
      </c>
      <c r="V39" s="1001">
        <f t="shared" si="22"/>
        <v>3</v>
      </c>
      <c r="W39" s="1001">
        <f t="shared" si="22"/>
        <v>3</v>
      </c>
      <c r="X39" s="340"/>
      <c r="Y39" s="1001">
        <f t="shared" si="22"/>
        <v>3</v>
      </c>
      <c r="Z39" s="1001">
        <f t="shared" si="22"/>
        <v>3</v>
      </c>
      <c r="AA39" s="1001">
        <f t="shared" si="22"/>
        <v>3</v>
      </c>
      <c r="AB39" s="1002">
        <f t="shared" si="22"/>
        <v>3</v>
      </c>
      <c r="AC39" s="327"/>
    </row>
    <row r="40" spans="2:29" ht="14" customHeight="1">
      <c r="B40" s="329"/>
      <c r="C40" s="330"/>
      <c r="D40" s="330"/>
      <c r="E40" s="331"/>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3"/>
    </row>
    <row r="41" spans="2:29" ht="14" customHeight="1">
      <c r="F41" s="317"/>
      <c r="G41" s="317"/>
      <c r="H41" s="317"/>
      <c r="I41" s="317"/>
      <c r="J41" s="317"/>
      <c r="K41" s="317"/>
      <c r="L41" s="317"/>
      <c r="M41" s="317"/>
      <c r="N41" s="317"/>
      <c r="O41" s="317"/>
      <c r="P41" s="317"/>
      <c r="Q41" s="317"/>
      <c r="R41" s="317"/>
      <c r="S41" s="317"/>
      <c r="T41" s="317"/>
      <c r="U41" s="317"/>
      <c r="V41" s="317"/>
      <c r="W41" s="317"/>
      <c r="X41" s="317"/>
      <c r="Y41" s="317"/>
      <c r="Z41" s="317"/>
      <c r="AA41" s="317"/>
      <c r="AB41" s="317"/>
    </row>
    <row r="42" spans="2:29">
      <c r="C42" s="318"/>
      <c r="D42" s="318"/>
      <c r="F42" s="317"/>
      <c r="G42" s="317"/>
      <c r="H42" s="317"/>
      <c r="I42" s="317"/>
      <c r="J42" s="317"/>
      <c r="K42" s="317"/>
      <c r="L42" s="317"/>
      <c r="M42" s="317"/>
      <c r="N42" s="317"/>
      <c r="O42" s="317"/>
      <c r="P42" s="317"/>
      <c r="Q42" s="317"/>
      <c r="R42" s="317"/>
      <c r="S42" s="317"/>
      <c r="T42" s="317"/>
      <c r="U42" s="317"/>
      <c r="V42" s="317"/>
      <c r="W42" s="317"/>
      <c r="X42" s="317"/>
      <c r="Y42" s="317"/>
      <c r="Z42" s="317"/>
      <c r="AA42" s="317"/>
      <c r="AB42" s="317"/>
    </row>
  </sheetData>
  <mergeCells count="5">
    <mergeCell ref="G5:R5"/>
    <mergeCell ref="Y5:AB5"/>
    <mergeCell ref="T5:W5"/>
    <mergeCell ref="B2:AC2"/>
    <mergeCell ref="M3:N3"/>
  </mergeCells>
  <phoneticPr fontId="5" type="noConversion"/>
  <printOptions horizontalCentered="1"/>
  <pageMargins left="0.2" right="0.2" top="0.2" bottom="0.35000000000000003" header="0.2" footer="0.2"/>
  <pageSetup paperSize="9" scale="83" fitToHeight="2" orientation="landscape" horizontalDpi="4294967292" verticalDpi="4294967292"/>
  <headerFooter>
    <oddFooter>&amp;L&amp;"Arial,Standard"Business Case&amp;C&amp;"Arial,Standard"&amp;F&amp;R&amp;"Arial,Standard"&amp;D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14</vt:i4>
      </vt:variant>
      <vt:variant>
        <vt:lpstr>Benannte Bereiche</vt:lpstr>
      </vt:variant>
      <vt:variant>
        <vt:i4>45</vt:i4>
      </vt:variant>
    </vt:vector>
  </HeadingPairs>
  <TitlesOfParts>
    <vt:vector size="59" baseType="lpstr">
      <vt:lpstr>Titel</vt:lpstr>
      <vt:lpstr>Remarks</vt:lpstr>
      <vt:lpstr>Parameter</vt:lpstr>
      <vt:lpstr>Liquidity</vt:lpstr>
      <vt:lpstr>P&amp;L Overview</vt:lpstr>
      <vt:lpstr>P+L</vt:lpstr>
      <vt:lpstr>P&amp;L Detail</vt:lpstr>
      <vt:lpstr>P+L Quarter 2016</vt:lpstr>
      <vt:lpstr>Prod.-Calc..</vt:lpstr>
      <vt:lpstr>Revenues</vt:lpstr>
      <vt:lpstr>Payroll</vt:lpstr>
      <vt:lpstr>other  costs</vt:lpstr>
      <vt:lpstr>Development Costs</vt:lpstr>
      <vt:lpstr>Interest_Redemption</vt:lpstr>
      <vt:lpstr>Accident_Insurance_Rate</vt:lpstr>
      <vt:lpstr>Cash_DIscount_Rate</vt:lpstr>
      <vt:lpstr>Corporate_Tax_Rate</vt:lpstr>
      <vt:lpstr>Cost_per_Sale</vt:lpstr>
      <vt:lpstr>Development_Gross_1000_Y1</vt:lpstr>
      <vt:lpstr>Development_Gross_1000_Y2</vt:lpstr>
      <vt:lpstr>Development_Gross_1000_Y3</vt:lpstr>
      <vt:lpstr>'Development Costs'!Druckbereich</vt:lpstr>
      <vt:lpstr>Interest_Redemption!Druckbereich</vt:lpstr>
      <vt:lpstr>Liquidity!Druckbereich</vt:lpstr>
      <vt:lpstr>'other  costs'!Druckbereich</vt:lpstr>
      <vt:lpstr>'P&amp;L Detail'!Druckbereich</vt:lpstr>
      <vt:lpstr>'P&amp;L Overview'!Druckbereich</vt:lpstr>
      <vt:lpstr>'P+L'!Druckbereich</vt:lpstr>
      <vt:lpstr>'P+L Quarter 2016'!Druckbereich</vt:lpstr>
      <vt:lpstr>'other  costs'!Drucktitel</vt:lpstr>
      <vt:lpstr>Payroll!Drucktitel</vt:lpstr>
      <vt:lpstr>Exchange_Rate</vt:lpstr>
      <vt:lpstr>Exemption</vt:lpstr>
      <vt:lpstr>Leverage_Trade_Tax</vt:lpstr>
      <vt:lpstr>Other_Costs_Net_1000_Y1</vt:lpstr>
      <vt:lpstr>Other_Costs_Net_1000_Y2</vt:lpstr>
      <vt:lpstr>Other_Costs_Net_1000_Y3</vt:lpstr>
      <vt:lpstr>Product_Cost_2_Y1</vt:lpstr>
      <vt:lpstr>Product_Cost_2_Y2</vt:lpstr>
      <vt:lpstr>Product_Cost_2_Y3</vt:lpstr>
      <vt:lpstr>Product_Liability_Rate</vt:lpstr>
      <vt:lpstr>Product_Margin_2_Y1</vt:lpstr>
      <vt:lpstr>Product_Margin_2_Y2</vt:lpstr>
      <vt:lpstr>Product_Margin_2_Y3</vt:lpstr>
      <vt:lpstr>Sales_Commission</vt:lpstr>
      <vt:lpstr>Solidarity_Tax_Rate</vt:lpstr>
      <vt:lpstr>Total_License_Costs_Y1</vt:lpstr>
      <vt:lpstr>Total_License_Costs_Y2</vt:lpstr>
      <vt:lpstr>Total_License_Costs_Y3</vt:lpstr>
      <vt:lpstr>Total_Net_Revenue_Y1</vt:lpstr>
      <vt:lpstr>Total_Net_Revenue_Y2</vt:lpstr>
      <vt:lpstr>Total_Net_Revenue_Y3</vt:lpstr>
      <vt:lpstr>Total_Production_Costs_Y1</vt:lpstr>
      <vt:lpstr>Total_Production_Costs_Y2</vt:lpstr>
      <vt:lpstr>Total_Production_Costs_Y3</vt:lpstr>
      <vt:lpstr>Trade_Tax_Rate</vt:lpstr>
      <vt:lpstr>Trade_Tax_Surcharge</vt:lpstr>
      <vt:lpstr>VAT_Rate_normal</vt:lpstr>
      <vt:lpstr>VAT_Rate_reduced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Abteilung IX</dc:creator>
  <cp:lastModifiedBy>Leoncini GmbH</cp:lastModifiedBy>
  <cp:lastPrinted>2023-01-23T15:40:16Z</cp:lastPrinted>
  <dcterms:created xsi:type="dcterms:W3CDTF">1998-07-30T10:35:41Z</dcterms:created>
  <dcterms:modified xsi:type="dcterms:W3CDTF">2023-01-23T15:51:48Z</dcterms:modified>
</cp:coreProperties>
</file>